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Podsumowanie" sheetId="1" r:id="rId1"/>
    <sheet name="Umowa o pracę" sheetId="2" r:id="rId2"/>
    <sheet name="Umowa zlecenie" sheetId="3" r:id="rId3"/>
    <sheet name="Umowa dzieło" sheetId="4" r:id="rId4"/>
    <sheet name="Samozatrudnienie" sheetId="5" r:id="rId5"/>
    <sheet name="Praca nakładcza" sheetId="6" r:id="rId6"/>
    <sheet name="Kontrakt menadżerski" sheetId="7" r:id="rId7"/>
  </sheets>
  <definedNames/>
  <calcPr fullCalcOnLoad="1"/>
</workbook>
</file>

<file path=xl/sharedStrings.xml><?xml version="1.0" encoding="utf-8"?>
<sst xmlns="http://schemas.openxmlformats.org/spreadsheetml/2006/main" count="487" uniqueCount="487">
  <si>
    <t>Kalkulator płac dla różnych forma zatrudnienia</t>
  </si>
  <si>
    <r>
      <rPr>
        <b/>
        <sz val="16"/>
        <rFont val="Arial"/>
        <family val="2"/>
      </rPr>
      <t>ElaStan</t>
    </r>
  </si>
  <si>
    <t>Kwota brutto</t>
  </si>
  <si>
    <r>
      <rPr>
        <b/>
        <sz val="20"/>
        <color indexed="17"/>
        <rFont val="Arial"/>
        <family val="2"/>
      </rPr>
      <t>←</t>
    </r>
    <r>
      <rPr>
        <sz val="20"/>
        <color indexed="17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tu wpisz kwotę</t>
    </r>
  </si>
  <si>
    <t>Lp.</t>
  </si>
  <si>
    <t>Rodzaj umowy</t>
  </si>
  <si>
    <t>Uwagi</t>
  </si>
  <si>
    <t>Brutto</t>
  </si>
  <si>
    <t>Netto (dla pracownika)</t>
  </si>
  <si>
    <t>Koszty zatrudnienia</t>
  </si>
  <si>
    <t>Umowa o pracę</t>
  </si>
  <si>
    <t>Umowa zlecenie wykonywana poza siedzibą firmy</t>
  </si>
  <si>
    <t>zawarta z własnym pracodawcą</t>
  </si>
  <si>
    <t>Umowa zlecenie wykonywana poza siedzibą firmy</t>
  </si>
  <si>
    <t>zawarta z pracownikiem z zewnątrz (posiadającym inny tytuł ubezpieczenia)</t>
  </si>
  <si>
    <t>Umowa zlecenie wykonywana poza siedzibą firmy</t>
  </si>
  <si>
    <r>
      <rPr>
        <sz val="12"/>
        <rFont val="Arial"/>
        <family val="2"/>
      </rPr>
      <t>zawarta z pracownikiem z zewnątrz (nie posiadającym innego tytułu ubezpieczenia z dobrowolnym ubezp. chorobowym)</t>
    </r>
  </si>
  <si>
    <t>Umowa zlecenie wykonywana poza siedzibą firmy</t>
  </si>
  <si>
    <t>zawarta ze studentem do 26 roku życia</t>
  </si>
  <si>
    <t>Umowa o dzieło</t>
  </si>
  <si>
    <t>zawarta z własnym pracownikiem, koszty uzyskania przychodu 20%</t>
  </si>
  <si>
    <t>Umowa o dzieło</t>
  </si>
  <si>
    <t>zawarta z pracownikiem z zewnątrz, koszty uzyskania przychodu 20%</t>
  </si>
  <si>
    <t>Umowa o dzieło</t>
  </si>
  <si>
    <t>zawarta z własnym pracownikiem, koszty uzyskania przychodu 50%</t>
  </si>
  <si>
    <t>Umowa o dzieło</t>
  </si>
  <si>
    <t>zawarta z pracownikiem z zewnątrz, koszty uzyskania przychodu 50%</t>
  </si>
  <si>
    <r>
      <rPr>
        <sz val="12"/>
        <rFont val="Arial"/>
        <family val="2"/>
      </rPr>
      <t>Samozatrudnienie</t>
    </r>
  </si>
  <si>
    <t>minimalne składki od działalności gospodarczej dla miesiąca sierpień 2006r.</t>
  </si>
  <si>
    <r>
      <rPr>
        <sz val="12"/>
        <rFont val="Arial"/>
        <family val="2"/>
      </rPr>
      <t>Samozatrudnienie</t>
    </r>
  </si>
  <si>
    <t>od kwoty 3 000,00 zł</t>
  </si>
  <si>
    <t>Praca nakładcza</t>
  </si>
  <si>
    <t>z dobrowolnym ubezpieczenie chorobowym</t>
  </si>
  <si>
    <t>Praca nakładcza</t>
  </si>
  <si>
    <t>bez ubezpieczenia chorobowego</t>
  </si>
  <si>
    <t>Kontrakt menedżerski</t>
  </si>
  <si>
    <t>praca poza siedzibą firmy</t>
  </si>
  <si>
    <t>Kontrakt menedżerski</t>
  </si>
  <si>
    <t>praca wykonywana w siedzibie firmy (ze składką wypadkową)</t>
  </si>
  <si>
    <t>Kalkulator pełni funkcję jedynie informacyjną !</t>
  </si>
  <si>
    <t>Umowa o pracę</t>
  </si>
  <si>
    <t>A</t>
  </si>
  <si>
    <t>Kwota Brutto</t>
  </si>
  <si>
    <t>Jak to liczymy</t>
  </si>
  <si>
    <t>B</t>
  </si>
  <si>
    <t>Składka Emerytalna (9,76%)</t>
  </si>
  <si>
    <t>A*9,76%</t>
  </si>
  <si>
    <t>C</t>
  </si>
  <si>
    <t>Składka Rentowa (6,5%)</t>
  </si>
  <si>
    <t>A*6,5%</t>
  </si>
  <si>
    <t>D</t>
  </si>
  <si>
    <t>Składka Chorobowa (2,45%)</t>
  </si>
  <si>
    <t>A*2,45%</t>
  </si>
  <si>
    <t>E</t>
  </si>
  <si>
    <t xml:space="preserve">Razem składki </t>
  </si>
  <si>
    <t>B+C+D</t>
  </si>
  <si>
    <t>F</t>
  </si>
  <si>
    <t>Koszty uzyskania przychodu (miejscowy)</t>
  </si>
  <si>
    <t>stała kwota określana na początku roku</t>
  </si>
  <si>
    <t>G</t>
  </si>
  <si>
    <t>Podstawa do opodatkowania</t>
  </si>
  <si>
    <t>A-E-F</t>
  </si>
  <si>
    <t>H</t>
  </si>
  <si>
    <t>Kwota wolna</t>
  </si>
  <si>
    <t>stała kwota określana na początku roku</t>
  </si>
  <si>
    <t>I</t>
  </si>
  <si>
    <t>Naliczony podatek**</t>
  </si>
  <si>
    <t>G*19%-H</t>
  </si>
  <si>
    <t>J</t>
  </si>
  <si>
    <t>Składka zdrowotna (7,75%)</t>
  </si>
  <si>
    <t>A-E*7,75%</t>
  </si>
  <si>
    <t>K</t>
  </si>
  <si>
    <t>Składka zdrowotna (1%)</t>
  </si>
  <si>
    <t>A-E*1%</t>
  </si>
  <si>
    <t>L</t>
  </si>
  <si>
    <t>Podatek do zapłaty</t>
  </si>
  <si>
    <t>I-J (wynik zaokrąglono do pełnych złotych)</t>
  </si>
  <si>
    <t>M</t>
  </si>
  <si>
    <t>Netto</t>
  </si>
  <si>
    <t>A-E-J-K-L</t>
  </si>
  <si>
    <t>N</t>
  </si>
  <si>
    <t>Pracodawca koszty</t>
  </si>
  <si>
    <t>O</t>
  </si>
  <si>
    <t>Składka Emerytalna (9,76%)</t>
  </si>
  <si>
    <t>A*9,76%</t>
  </si>
  <si>
    <t>P</t>
  </si>
  <si>
    <t>Składka Rentowa (6,5%)</t>
  </si>
  <si>
    <t>A*6,5%</t>
  </si>
  <si>
    <t>R</t>
  </si>
  <si>
    <t>Składka Wypadkowa (1,80%)*</t>
  </si>
  <si>
    <t>A*1,80%</t>
  </si>
  <si>
    <t>S</t>
  </si>
  <si>
    <r>
      <rPr>
        <sz val="12"/>
        <rFont val="Arial"/>
        <family val="2"/>
      </rPr>
      <t>Składka na FGŚS (0,1%)</t>
    </r>
  </si>
  <si>
    <t>A*0,10%</t>
  </si>
  <si>
    <t>T</t>
  </si>
  <si>
    <t>Składka na fundusz Pracy (2,45%)</t>
  </si>
  <si>
    <t>A*2,45%</t>
  </si>
  <si>
    <t>U</t>
  </si>
  <si>
    <t>Razem</t>
  </si>
  <si>
    <t>O+P+R+S+T</t>
  </si>
  <si>
    <t>W</t>
  </si>
  <si>
    <t>Koszt ogólny</t>
  </si>
  <si>
    <t>A+U</t>
  </si>
  <si>
    <t>* Składka na ubezpieczenie wypadkowe jest zróżnicowana zależności od prowadzonej działalności.</t>
  </si>
  <si>
    <t>Dla przykładu przyjęto (1,80%)</t>
  </si>
  <si>
    <t>** dochody opodatkowane według stawki 19%</t>
  </si>
  <si>
    <t>Umowa zlecenie wykonywana poza siedzibą firmy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</si>
  <si>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 xml:space="preserve">zawarta z własnym pracodawcą </t>
    </r>
    <r>
      <rPr>
        <sz val="10"/>
        <color indexed="48"/>
        <rFont val="Arial"/>
        <family val="2"/>
      </rPr>
      <t>wykonywana poza siedzibą przedsiębiorstwa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</si>
  <si>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zawarta z pracownikiem z zewnątrz (posiadającym inny tytuł ubezpieczenia) lub ze studentem do 26 roku życia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</si>
  <si>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>zawarta z pracownikiem z zewnątrz (nie posiadającym innego tytułu ubezpieczenia z dobrowolnym ubezp. chorobowym)</t>
    </r>
  </si>
  <si>
    <r>
      <rPr>
        <b/>
        <sz val="10"/>
        <rFont val="Arial"/>
        <family val="2"/>
      </rPr>
      <t xml:space="preserve">D - </t>
    </r>
    <r>
      <rPr>
        <sz val="10"/>
        <rFont val="Arial"/>
        <family val="2"/>
      </rPr>
      <t>zawarta ze studentem do 26 roku życia</t>
    </r>
  </si>
  <si>
    <t>A</t>
  </si>
  <si>
    <t>B</t>
  </si>
  <si>
    <t>C</t>
  </si>
  <si>
    <t>D</t>
  </si>
  <si>
    <t>A</t>
  </si>
  <si>
    <t>Kwota Brutto</t>
  </si>
  <si>
    <t>Jak to liczymy</t>
  </si>
  <si>
    <t>B</t>
  </si>
  <si>
    <t>Składka Emerytalna (9,76%)</t>
  </si>
  <si>
    <t>A*9,76%</t>
  </si>
  <si>
    <t>C</t>
  </si>
  <si>
    <t>Składka Rentowa (6,5%)</t>
  </si>
  <si>
    <t>A*6,5%</t>
  </si>
  <si>
    <t>D</t>
  </si>
  <si>
    <t>Składka Chorobowa (2,45%)</t>
  </si>
  <si>
    <t>A*2,45%</t>
  </si>
  <si>
    <t>E</t>
  </si>
  <si>
    <t>Razem składki</t>
  </si>
  <si>
    <t>B+C+D</t>
  </si>
  <si>
    <t>F</t>
  </si>
  <si>
    <t>Koszty uzyskania przychodu</t>
  </si>
  <si>
    <t>A-E*20%</t>
  </si>
  <si>
    <t>G</t>
  </si>
  <si>
    <t>Podstawa do opodatkowania</t>
  </si>
  <si>
    <t>A-E-F</t>
  </si>
  <si>
    <t>H</t>
  </si>
  <si>
    <t>Kwota wolna</t>
  </si>
  <si>
    <t>brak dla tego typu umowy</t>
  </si>
  <si>
    <t>I</t>
  </si>
  <si>
    <t>Naliczony podatek**</t>
  </si>
  <si>
    <t>G*19%</t>
  </si>
  <si>
    <t>J</t>
  </si>
  <si>
    <t>Składka zdrowotna (7,75%)</t>
  </si>
  <si>
    <t>A-E*7,75%</t>
  </si>
  <si>
    <t>K</t>
  </si>
  <si>
    <t>Składka zdrowotna (1%)</t>
  </si>
  <si>
    <t>A-E*1%</t>
  </si>
  <si>
    <t>L</t>
  </si>
  <si>
    <t>Podatek do zapłaty</t>
  </si>
  <si>
    <t>I-J (wynik zaokrąglono do pełnych złotych)</t>
  </si>
  <si>
    <t>M</t>
  </si>
  <si>
    <t>Netto</t>
  </si>
  <si>
    <t>A-E-J-K-L</t>
  </si>
  <si>
    <t>N</t>
  </si>
  <si>
    <t>Pracodawca koszty</t>
  </si>
  <si>
    <t>O</t>
  </si>
  <si>
    <t>Składka Emerytalna (9,76%)</t>
  </si>
  <si>
    <t>A*9,76%</t>
  </si>
  <si>
    <t>P</t>
  </si>
  <si>
    <t>Składka Rentowa (6,5%)</t>
  </si>
  <si>
    <t>A*6,5%</t>
  </si>
  <si>
    <t>R</t>
  </si>
  <si>
    <t>Składka Wypadkowa (1,80%)*</t>
  </si>
  <si>
    <t>A*1,80%</t>
  </si>
  <si>
    <t>S</t>
  </si>
  <si>
    <r>
      <rPr>
        <sz val="12"/>
        <rFont val="Arial"/>
        <family val="2"/>
      </rPr>
      <t>Składka na FGŚS (0,1%)</t>
    </r>
  </si>
  <si>
    <t>A*0,10%</t>
  </si>
  <si>
    <t>T</t>
  </si>
  <si>
    <t>Składka na fundusz Pracy (2,45%)</t>
  </si>
  <si>
    <t>A*2,45%</t>
  </si>
  <si>
    <t>U</t>
  </si>
  <si>
    <t>Razem</t>
  </si>
  <si>
    <t>O+P+R+S+T</t>
  </si>
  <si>
    <t>W</t>
  </si>
  <si>
    <t>Koszt ogólny</t>
  </si>
  <si>
    <t>A+U</t>
  </si>
  <si>
    <t>*Jeżeli praca wykonywana jest w siedzibie firmy naliczana jest również składka wypadkowa w tym przypadku:</t>
  </si>
  <si>
    <t>O taką kwotę zwiększa się koszt pracodawcy (przypadek A i D)</t>
  </si>
  <si>
    <t>** dochody opodatkowane według stawki 19%</t>
  </si>
  <si>
    <t>Umowa o dzieło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</si>
  <si>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>zawarta z własnym pracownikiem, koszty uzyskania przychodu 20%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</si>
  <si>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zawarta z pracownikiem z zewnątrz, koszty uzyskania przychodu 20%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</si>
  <si>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>zawarta z własnym pracownikiem, koszty uzyskania przychodu 50%</t>
    </r>
  </si>
  <si>
    <r>
      <rPr>
        <b/>
        <sz val="10"/>
        <rFont val="Arial"/>
        <family val="2"/>
      </rPr>
      <t>D -</t>
    </r>
    <r>
      <rPr>
        <sz val="10"/>
        <rFont val="Arial"/>
        <family val="2"/>
      </rPr>
      <t xml:space="preserve"> zawarta z pracownikiem z zewnątrz, koszty uzyskania przychodu 50%</t>
    </r>
  </si>
  <si>
    <t>A</t>
  </si>
  <si>
    <t>B</t>
  </si>
  <si>
    <t>C</t>
  </si>
  <si>
    <t>D</t>
  </si>
  <si>
    <t>A</t>
  </si>
  <si>
    <t>Kwota Brutto</t>
  </si>
  <si>
    <t>Jak to liczymy</t>
  </si>
  <si>
    <t>B</t>
  </si>
  <si>
    <t>Składka Emerytalna (9,76%)</t>
  </si>
  <si>
    <t>A*9,76%</t>
  </si>
  <si>
    <t>C</t>
  </si>
  <si>
    <t>Składka Rentowa (6,5%)</t>
  </si>
  <si>
    <t>A*6,5%</t>
  </si>
  <si>
    <t>D</t>
  </si>
  <si>
    <t>Składka Chorobowa (2,45%)</t>
  </si>
  <si>
    <t>A*2,45%</t>
  </si>
  <si>
    <t>E</t>
  </si>
  <si>
    <t>Razem składki</t>
  </si>
  <si>
    <t>B+C+D</t>
  </si>
  <si>
    <t>F</t>
  </si>
  <si>
    <t>Koszty uzyskania przychodu</t>
  </si>
  <si>
    <t>A-E*50% lub A-E*20%</t>
  </si>
  <si>
    <t>G</t>
  </si>
  <si>
    <t>Podstawa do opodatkowania</t>
  </si>
  <si>
    <t>A-E-F</t>
  </si>
  <si>
    <t>H</t>
  </si>
  <si>
    <t>Kwota wolna</t>
  </si>
  <si>
    <t>brak dla tego typu umowy</t>
  </si>
  <si>
    <t>I</t>
  </si>
  <si>
    <t>Naliczony podatek**</t>
  </si>
  <si>
    <t>G*19%</t>
  </si>
  <si>
    <t>J</t>
  </si>
  <si>
    <t>Składka zdrowotna (7,75%)</t>
  </si>
  <si>
    <t>A-E*7,75%</t>
  </si>
  <si>
    <t>K</t>
  </si>
  <si>
    <t>Składka zdrowotna (1%)</t>
  </si>
  <si>
    <t>A-E*1%</t>
  </si>
  <si>
    <t>L</t>
  </si>
  <si>
    <t>Podatek do zapłaty</t>
  </si>
  <si>
    <t>I-J (wynik zaokrąglono do pełnych złotych)</t>
  </si>
  <si>
    <t>M</t>
  </si>
  <si>
    <t>Netto</t>
  </si>
  <si>
    <t>A-E-J-K-L</t>
  </si>
  <si>
    <t>N</t>
  </si>
  <si>
    <t>Pracodawca koszty</t>
  </si>
  <si>
    <t>O</t>
  </si>
  <si>
    <t>Składka Emerytalna (9,76%)</t>
  </si>
  <si>
    <t>A*9,76%</t>
  </si>
  <si>
    <t>P</t>
  </si>
  <si>
    <t>Składka Rentowa (6,5%)</t>
  </si>
  <si>
    <t>A*6,5%</t>
  </si>
  <si>
    <t>R</t>
  </si>
  <si>
    <t>Składka Wypadkowa (1,80%)*</t>
  </si>
  <si>
    <t>A*1,80%</t>
  </si>
  <si>
    <t>S</t>
  </si>
  <si>
    <r>
      <rPr>
        <sz val="12"/>
        <rFont val="Arial"/>
        <family val="2"/>
      </rPr>
      <t>Składka na FGŚS (0,1%)</t>
    </r>
  </si>
  <si>
    <t>A*0,10%</t>
  </si>
  <si>
    <t>T</t>
  </si>
  <si>
    <t>Składka na fundusz Pracy (2,45%)</t>
  </si>
  <si>
    <t>A*2,45%</t>
  </si>
  <si>
    <t>U</t>
  </si>
  <si>
    <t>Razem</t>
  </si>
  <si>
    <t>O+P+R+S+T</t>
  </si>
  <si>
    <t>W</t>
  </si>
  <si>
    <t>Koszt ogólny</t>
  </si>
  <si>
    <t>A+U</t>
  </si>
  <si>
    <t>*Jeżeli praca wykonywana jest w siedzibie firmy naliczana jest również składka wypadkowa w tym przypadku:</t>
  </si>
  <si>
    <t>O taką kwotę zwiększa się koszt pracodawcy (przypadek A i C)</t>
  </si>
  <si>
    <t>** dochody opodatkowane według stawki 19%</t>
  </si>
  <si>
    <r>
      <rPr>
        <b/>
        <sz val="16"/>
        <rFont val="Arial"/>
        <family val="2"/>
      </rPr>
      <t>Samozatrudnienie</t>
    </r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</si>
  <si>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>minimalne składki od działalności gospodarczej dla miesiąca sierpień 2006r.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</si>
  <si>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od zadeklarowanej podstawy</t>
    </r>
  </si>
  <si>
    <t xml:space="preserve">Jak to liczymy </t>
  </si>
  <si>
    <t>A</t>
  </si>
  <si>
    <t>B</t>
  </si>
  <si>
    <t>C</t>
  </si>
  <si>
    <t>D</t>
  </si>
  <si>
    <t>Kolumna B</t>
  </si>
  <si>
    <t>Kolumna C i D</t>
  </si>
  <si>
    <t>A</t>
  </si>
  <si>
    <t>Kwota Brutto</t>
  </si>
  <si>
    <t>B</t>
  </si>
  <si>
    <t>Składka Emerytalna (19,52%)</t>
  </si>
  <si>
    <t xml:space="preserve"> A*19,52%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</si>
  <si>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*19,52%</t>
    </r>
  </si>
  <si>
    <t>C</t>
  </si>
  <si>
    <t>Składka Rentowa (13%)</t>
  </si>
  <si>
    <t>A*13%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</si>
  <si>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*13%</t>
    </r>
  </si>
  <si>
    <t>D</t>
  </si>
  <si>
    <t>Składka Chorobowa (2,45%)</t>
  </si>
  <si>
    <t>A*2,45%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</si>
  <si>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*2,45%</t>
    </r>
  </si>
  <si>
    <t>E</t>
  </si>
  <si>
    <t>Razem ubezpieczenie społeczne</t>
  </si>
  <si>
    <t>B+C+D</t>
  </si>
  <si>
    <t>B+C+D</t>
  </si>
  <si>
    <t>F</t>
  </si>
  <si>
    <t>Składka zdrowotna (8,75%)</t>
  </si>
  <si>
    <t>A*8,75%</t>
  </si>
  <si>
    <r>
      <rPr>
        <b/>
        <sz val="10"/>
        <rFont val="Arial"/>
        <family val="0"/>
      </rPr>
      <t>X</t>
    </r>
    <r>
      <rPr>
        <sz val="10"/>
        <rFont val="Arial"/>
        <family val="0"/>
      </rPr>
      <t>*8,75%</t>
    </r>
  </si>
  <si>
    <t>G</t>
  </si>
  <si>
    <t>Składka Wypadkowa (1,80%)</t>
  </si>
  <si>
    <t>A*1,80%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</si>
  <si>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*1,80%</t>
    </r>
  </si>
  <si>
    <t>H</t>
  </si>
  <si>
    <r>
      <rPr>
        <sz val="12"/>
        <rFont val="Arial"/>
        <family val="2"/>
      </rPr>
      <t>Składka na FGŚS (0,1%)</t>
    </r>
  </si>
  <si>
    <t>A*0,10%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</si>
  <si>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*0,10%</t>
    </r>
  </si>
  <si>
    <t>I</t>
  </si>
  <si>
    <t>Składka na fundusz Pracy (2,45%)</t>
  </si>
  <si>
    <t>A*2,45%</t>
  </si>
  <si>
    <r>
      <rPr>
        <b/>
        <sz val="10"/>
        <rFont val="Arial"/>
        <family val="0"/>
      </rPr>
      <t>W</t>
    </r>
    <r>
      <rPr>
        <sz val="10"/>
        <rFont val="Arial"/>
        <family val="0"/>
      </rPr>
      <t>*2,45%</t>
    </r>
  </si>
  <si>
    <t>J</t>
  </si>
  <si>
    <t>Razem składki</t>
  </si>
  <si>
    <t>G+H+I</t>
  </si>
  <si>
    <t>G+H+I</t>
  </si>
  <si>
    <t>K</t>
  </si>
  <si>
    <t>Koszty ogółem</t>
  </si>
  <si>
    <t>E+F+J</t>
  </si>
  <si>
    <t>E+F+J</t>
  </si>
  <si>
    <t>L</t>
  </si>
  <si>
    <t>NETTO</t>
  </si>
  <si>
    <t>A-K</t>
  </si>
  <si>
    <t>A-K</t>
  </si>
  <si>
    <t>M</t>
  </si>
  <si>
    <t>Pracodawca koszty</t>
  </si>
  <si>
    <t>N</t>
  </si>
  <si>
    <t>Składka Emerytalna (9,76%)</t>
  </si>
  <si>
    <t>policzono wyżej</t>
  </si>
  <si>
    <t>policzono wyżej</t>
  </si>
  <si>
    <t>O</t>
  </si>
  <si>
    <t>Składka Rentowa (6,5%)</t>
  </si>
  <si>
    <t>policzono wyżej</t>
  </si>
  <si>
    <t>policzono wyżej</t>
  </si>
  <si>
    <t>P</t>
  </si>
  <si>
    <t>Składka Wypadkowa (1,80%)</t>
  </si>
  <si>
    <t>policzono wyżej</t>
  </si>
  <si>
    <t>policzono wyżej</t>
  </si>
  <si>
    <t>R</t>
  </si>
  <si>
    <r>
      <rPr>
        <sz val="12"/>
        <rFont val="Arial"/>
        <family val="2"/>
      </rPr>
      <t>Składka na FGŚS (0,1%)</t>
    </r>
  </si>
  <si>
    <t>policzono wyżej</t>
  </si>
  <si>
    <t>policzono wyżej</t>
  </si>
  <si>
    <t>S</t>
  </si>
  <si>
    <t>Składka na fundusz Pracy (2,45%)</t>
  </si>
  <si>
    <t>policzono wyżej</t>
  </si>
  <si>
    <t>policzono wyżej</t>
  </si>
  <si>
    <t>T</t>
  </si>
  <si>
    <t>Razem</t>
  </si>
  <si>
    <t>policzono wyżej</t>
  </si>
  <si>
    <t>policzono wyżej</t>
  </si>
  <si>
    <t>U</t>
  </si>
  <si>
    <t>Koszt ogólny</t>
  </si>
  <si>
    <t>W</t>
  </si>
  <si>
    <t>Składka chorobowa jest składką dobrowolną.</t>
  </si>
  <si>
    <t>Podstawa składek społecznych</t>
  </si>
  <si>
    <t>X</t>
  </si>
  <si>
    <t>Podstawa składki zdrowotnej</t>
  </si>
  <si>
    <r>
      <rPr>
        <b/>
        <sz val="10"/>
        <rFont val="Arial"/>
        <family val="2"/>
      </rPr>
      <t>C -</t>
    </r>
    <r>
      <rPr>
        <sz val="10"/>
        <rFont val="Arial"/>
        <family val="0"/>
      </rPr>
      <t xml:space="preserve"> podstawa wymiaru składek  60% przeciętnego wynagrodzenia I kw.2006r.</t>
    </r>
  </si>
  <si>
    <r>
      <rPr>
        <b/>
        <sz val="10"/>
        <rFont val="Arial"/>
        <family val="2"/>
      </rPr>
      <t>D -</t>
    </r>
    <r>
      <rPr>
        <sz val="10"/>
        <rFont val="Arial"/>
        <family val="0"/>
      </rPr>
      <t xml:space="preserve"> podstawa wymiaru nie niższa niż 30% kwoty minimalnego wynagrodzenia</t>
    </r>
  </si>
  <si>
    <t>Praca nakładcza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</si>
  <si>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>z dobrowolnym ubezpieczeniem chorobowym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</si>
  <si>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bez ubezpieczenia chorobowego</t>
    </r>
  </si>
  <si>
    <t>A</t>
  </si>
  <si>
    <t>B</t>
  </si>
  <si>
    <t>A</t>
  </si>
  <si>
    <t>Kwota Brutto</t>
  </si>
  <si>
    <t>Jak to liczymy</t>
  </si>
  <si>
    <t>B</t>
  </si>
  <si>
    <t>Składka Emerytalna (9,76%)</t>
  </si>
  <si>
    <t>A*9,76%</t>
  </si>
  <si>
    <t>C</t>
  </si>
  <si>
    <t>Składka Rentowa (6,5%)</t>
  </si>
  <si>
    <t>A*6,5%</t>
  </si>
  <si>
    <t>D</t>
  </si>
  <si>
    <t>Składka Chorobowa (2,45%)</t>
  </si>
  <si>
    <t>A*2,45%</t>
  </si>
  <si>
    <t>E</t>
  </si>
  <si>
    <t>Razem składki</t>
  </si>
  <si>
    <t>B+C+D</t>
  </si>
  <si>
    <t>F</t>
  </si>
  <si>
    <t>Koszty uzyskania przychodu</t>
  </si>
  <si>
    <t>stała kwota określana na początku roku</t>
  </si>
  <si>
    <t>G</t>
  </si>
  <si>
    <t>Podstawa do opodatkowania</t>
  </si>
  <si>
    <t>A-E-F (wynik zaokrąglono do pełnych złotych)</t>
  </si>
  <si>
    <t>H</t>
  </si>
  <si>
    <t>Kwota wolna</t>
  </si>
  <si>
    <t>stała kwota określana na początku roku</t>
  </si>
  <si>
    <t>I</t>
  </si>
  <si>
    <t>Naliczony podatek**</t>
  </si>
  <si>
    <t>G*19%-H</t>
  </si>
  <si>
    <t>J</t>
  </si>
  <si>
    <t>Składka zdrowotna (7,75%)</t>
  </si>
  <si>
    <t>A-E*7,75%</t>
  </si>
  <si>
    <t>K</t>
  </si>
  <si>
    <t>Składka zdrowotna (1%)</t>
  </si>
  <si>
    <t>A-E*1%</t>
  </si>
  <si>
    <t>L</t>
  </si>
  <si>
    <t>Podatek do zapłaty</t>
  </si>
  <si>
    <t>I-J (wynik zaokrąglono do pełnych złotych)</t>
  </si>
  <si>
    <t>M</t>
  </si>
  <si>
    <t>Netto</t>
  </si>
  <si>
    <t>A-E-J-K-L</t>
  </si>
  <si>
    <t>N</t>
  </si>
  <si>
    <t>Pracodawca koszty</t>
  </si>
  <si>
    <t>O</t>
  </si>
  <si>
    <t>Składka Emerytalna (9,76%)</t>
  </si>
  <si>
    <t>A*9,76%</t>
  </si>
  <si>
    <t>P</t>
  </si>
  <si>
    <t>Składka Rentowa (6,5%)</t>
  </si>
  <si>
    <t>A*6,5%</t>
  </si>
  <si>
    <t>R</t>
  </si>
  <si>
    <t>Składka Wypadkowa (1,80%)</t>
  </si>
  <si>
    <t>A*1,80%</t>
  </si>
  <si>
    <t>S</t>
  </si>
  <si>
    <r>
      <rPr>
        <sz val="12"/>
        <rFont val="Arial"/>
        <family val="2"/>
      </rPr>
      <t>Składka na FGŚS (0,1%)</t>
    </r>
  </si>
  <si>
    <t>A*0,10%</t>
  </si>
  <si>
    <t>T</t>
  </si>
  <si>
    <t>Składka na fundusz Pracy (2,45%)</t>
  </si>
  <si>
    <t>A*2,45%</t>
  </si>
  <si>
    <t>U</t>
  </si>
  <si>
    <t>Razem</t>
  </si>
  <si>
    <t>O+P+R+S+T</t>
  </si>
  <si>
    <t>W</t>
  </si>
  <si>
    <t>Koszt ogólny</t>
  </si>
  <si>
    <t>A+U</t>
  </si>
  <si>
    <t>** dochody opodatkowane według stawki 19%</t>
  </si>
  <si>
    <t>Kontrakt menedżerski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</si>
  <si>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>praca poza siedzibą firmy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</si>
  <si>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praca wykonywana w siedzibie firmy (ze składką wypadkową)</t>
    </r>
  </si>
  <si>
    <t>A</t>
  </si>
  <si>
    <t>B</t>
  </si>
  <si>
    <t>A</t>
  </si>
  <si>
    <t>Kwota Brutto</t>
  </si>
  <si>
    <t>Jak to liczymy</t>
  </si>
  <si>
    <t>B</t>
  </si>
  <si>
    <t>Składka Emerytalna (9,76%)</t>
  </si>
  <si>
    <t>A*9,76%</t>
  </si>
  <si>
    <t>C</t>
  </si>
  <si>
    <t>Składka Rentowa (6,5%)</t>
  </si>
  <si>
    <t>A*6,5%</t>
  </si>
  <si>
    <t>D</t>
  </si>
  <si>
    <t>Składka Chorobowa (2,45%)</t>
  </si>
  <si>
    <t>A*2,45%</t>
  </si>
  <si>
    <t>E</t>
  </si>
  <si>
    <t>Razem składki</t>
  </si>
  <si>
    <t>B+C+D</t>
  </si>
  <si>
    <t>F</t>
  </si>
  <si>
    <t>Koszty uzyskania przychodu</t>
  </si>
  <si>
    <t>A-E*50%</t>
  </si>
  <si>
    <t>G</t>
  </si>
  <si>
    <t>Podstawa do opodatkowania</t>
  </si>
  <si>
    <t>A-E-F</t>
  </si>
  <si>
    <t>H</t>
  </si>
  <si>
    <t>Kwota wolna</t>
  </si>
  <si>
    <t>brak dla tego typu umowy</t>
  </si>
  <si>
    <t>I</t>
  </si>
  <si>
    <t>Naliczony podatek**</t>
  </si>
  <si>
    <t>G*19%</t>
  </si>
  <si>
    <t>J</t>
  </si>
  <si>
    <t>Składka zdrowotna (7,75%)</t>
  </si>
  <si>
    <t>A-E*7,75%</t>
  </si>
  <si>
    <t>K</t>
  </si>
  <si>
    <t>Składka zdrowotna (1%)</t>
  </si>
  <si>
    <t>A-E*1%</t>
  </si>
  <si>
    <t>L</t>
  </si>
  <si>
    <t>Podatek do zapłaty</t>
  </si>
  <si>
    <t>I-J (wynik zaokrąglono do pełnych złotych)</t>
  </si>
  <si>
    <t>M</t>
  </si>
  <si>
    <t>Netto</t>
  </si>
  <si>
    <t>A-E-J-K-L</t>
  </si>
  <si>
    <t>N</t>
  </si>
  <si>
    <t>Pracodawca koszty</t>
  </si>
  <si>
    <t>O</t>
  </si>
  <si>
    <t>Składka Emerytalna (9,76%)</t>
  </si>
  <si>
    <t>A*9,76%</t>
  </si>
  <si>
    <t>P</t>
  </si>
  <si>
    <t>Składka Rentowa (6,5%)</t>
  </si>
  <si>
    <t>A*6,5%</t>
  </si>
  <si>
    <t>R</t>
  </si>
  <si>
    <t>Składka Wypadkowa (1,80%)*</t>
  </si>
  <si>
    <t>A*1,80%</t>
  </si>
  <si>
    <t>S</t>
  </si>
  <si>
    <r>
      <rPr>
        <sz val="12"/>
        <rFont val="Arial"/>
        <family val="2"/>
      </rPr>
      <t>Składka na FGŚS (0,1%)</t>
    </r>
  </si>
  <si>
    <t>A*0,10%</t>
  </si>
  <si>
    <t>T</t>
  </si>
  <si>
    <t>Składka na fundusz Pracy (2,45%)</t>
  </si>
  <si>
    <t>A*2,45%</t>
  </si>
  <si>
    <t>U</t>
  </si>
  <si>
    <t>Razem</t>
  </si>
  <si>
    <t>O+P+R+S+T</t>
  </si>
  <si>
    <t>W</t>
  </si>
  <si>
    <t>Koszt ogólny</t>
  </si>
  <si>
    <t>A+U</t>
  </si>
  <si>
    <r>
      <rPr>
        <b/>
        <sz val="10"/>
        <rFont val="Arial"/>
        <family val="0"/>
      </rPr>
      <t>A</t>
    </r>
    <r>
      <rPr>
        <sz val="10"/>
        <rFont val="Arial"/>
        <family val="0"/>
      </rPr>
      <t xml:space="preserve"> – Składka na ubezpieczenie chorobowe jest dobrowolna Nie ma wpływu na koszt pracy pracodawcy.</t>
    </r>
  </si>
  <si>
    <t xml:space="preserve">Podstawa prawna </t>
  </si>
  <si>
    <t xml:space="preserve">    Podatek art. 41 ust. 1 i 1a ustawy o podatku dochodowym od osób fizycznych</t>
  </si>
  <si>
    <r>
      <rPr>
        <sz val="10"/>
        <rFont val="Arial"/>
        <family val="0"/>
      </rPr>
      <t xml:space="preserve">    Składka z ZUS - art. 6 ust. 1 pkt 4 ustawy o systemie ubezpieczeń społecznych.</t>
    </r>
  </si>
  <si>
    <t>* Składka na ubezpieczenie wypadkowe jest zróżnicowana zależności od prowadzonej działalności.</t>
  </si>
  <si>
    <t>Dla przykładu przyjęto (1,80%)</t>
  </si>
  <si>
    <t>** dochody opodatkowane według stawki 19%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</si>
</sst>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\-#,##0.00&quot; zł&quot;"/>
  </numFmts>
  <fonts count="1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indexed="17"/>
      <name val="Arial"/>
      <family val="2"/>
    </font>
    <font>
      <sz val="20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0"/>
    </font>
    <font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164" fontId="7" fillId="2" borderId="3" xfId="0" applyNumberFormat="1" applyFont="1" applyFill="1" applyBorder="1" applyAlignment="1">
      <alignment vertical="center"/>
    </xf>
    <xf numFmtId="164" fontId="7" fillId="3" borderId="3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164" fontId="7" fillId="2" borderId="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vertical="center"/>
    </xf>
    <xf numFmtId="49" fontId="9" fillId="5" borderId="5" xfId="0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164" fontId="7" fillId="3" borderId="7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164" fontId="7" fillId="3" borderId="9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/>
    </xf>
    <xf numFmtId="0" fontId="0" fillId="6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/>
    </xf>
    <xf numFmtId="164" fontId="7" fillId="7" borderId="11" xfId="0" applyNumberFormat="1" applyFont="1" applyFill="1" applyBorder="1" applyAlignment="1">
      <alignment/>
    </xf>
    <xf numFmtId="0" fontId="10" fillId="6" borderId="10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3" borderId="12" xfId="0" applyFont="1" applyFill="1" applyBorder="1" applyAlignment="1">
      <alignment/>
    </xf>
    <xf numFmtId="164" fontId="7" fillId="3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6" borderId="10" xfId="0" applyFill="1" applyBorder="1" applyAlignment="1">
      <alignment horizontal="center"/>
    </xf>
    <xf numFmtId="0" fontId="7" fillId="4" borderId="13" xfId="0" applyFont="1" applyFill="1" applyBorder="1" applyAlignment="1">
      <alignment/>
    </xf>
    <xf numFmtId="164" fontId="7" fillId="4" borderId="13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2" xfId="0" applyNumberFormat="1" applyFont="1" applyBorder="1" applyAlignment="1">
      <alignment/>
    </xf>
    <xf numFmtId="10" fontId="0" fillId="6" borderId="1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5" fontId="7" fillId="7" borderId="15" xfId="0" applyNumberFormat="1" applyFont="1" applyFill="1" applyBorder="1" applyAlignment="1">
      <alignment/>
    </xf>
    <xf numFmtId="165" fontId="7" fillId="7" borderId="16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165" fontId="9" fillId="0" borderId="12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165" fontId="7" fillId="3" borderId="12" xfId="0" applyNumberFormat="1" applyFont="1" applyFill="1" applyBorder="1" applyAlignment="1">
      <alignment/>
    </xf>
    <xf numFmtId="165" fontId="7" fillId="3" borderId="17" xfId="0" applyNumberFormat="1" applyFont="1" applyFill="1" applyBorder="1" applyAlignment="1">
      <alignment/>
    </xf>
    <xf numFmtId="166" fontId="7" fillId="0" borderId="12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5" fontId="7" fillId="4" borderId="13" xfId="0" applyNumberFormat="1" applyFont="1" applyFill="1" applyBorder="1" applyAlignment="1">
      <alignment/>
    </xf>
    <xf numFmtId="165" fontId="7" fillId="4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164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164" fontId="2" fillId="8" borderId="2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6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1">
      <selection activeCell="A1" sqref="A1"/>
    </sheetView>
  </sheetViews>
  <sheetFormatPr defaultColWidth="9.140625" defaultRowHeight="12.75"/>
  <cols>
    <col min="1" max="1" width="9.00390625" style="1" customWidth="1"/>
    <col min="2" max="2" width="27.28125" style="1" customWidth="1"/>
    <col min="3" max="3" width="36.57421875" style="1" customWidth="1"/>
    <col min="4" max="6" width="17.7109375" style="1" customWidth="1"/>
    <col min="7" max="16384" width="9.00390625" style="1" customWidth="1"/>
  </cols>
  <sheetData>
    <row r="1" spans="2:5" ht="20.25">
      <c r="B1" s="66" t="s">
        <v>0</v>
      </c>
      <c r="C1" s="66"/>
      <c r="D1" s="66"/>
      <c r="E1" s="2" t="s">
        <v>1</v>
      </c>
    </row>
    <row r="3" spans="2:3" ht="18">
      <c r="B3" s="67" t="s">
        <v>2</v>
      </c>
      <c r="C3" s="67"/>
    </row>
    <row r="4" spans="2:5" ht="26.25">
      <c r="B4" s="68">
        <v>3000</v>
      </c>
      <c r="C4" s="68"/>
      <c r="D4" s="3" t="s">
        <v>3</v>
      </c>
      <c r="E4" s="4"/>
    </row>
    <row r="6" spans="1:7" ht="31.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/>
    </row>
    <row r="7" spans="1:6" ht="15.75">
      <c r="A7" s="7">
        <v>1</v>
      </c>
      <c r="B7" s="8" t="s">
        <v>10</v>
      </c>
      <c r="C7" s="8"/>
      <c r="D7" s="9">
        <f>$B$4</f>
        <v>3000</v>
      </c>
      <c r="E7" s="10">
        <f>'Umowa o pracę'!C17</f>
        <v>2014.3137499999998</v>
      </c>
      <c r="F7" s="11">
        <f>'Umowa o pracę'!C25</f>
        <v>3618.3</v>
      </c>
    </row>
    <row r="8" spans="1:6" ht="45">
      <c r="A8" s="12">
        <v>2</v>
      </c>
      <c r="B8" s="13" t="s">
        <v>11</v>
      </c>
      <c r="C8" s="13" t="s">
        <v>12</v>
      </c>
      <c r="D8" s="14">
        <f aca="true" t="shared" si="0" ref="D8:D19">$B$4</f>
        <v>3000</v>
      </c>
      <c r="E8" s="15">
        <f>'Umowa zlecenie'!C20</f>
        <v>2043.31375</v>
      </c>
      <c r="F8" s="16">
        <f>'Umowa zlecenie'!C28</f>
        <v>3564.3</v>
      </c>
    </row>
    <row r="9" spans="1:6" ht="45">
      <c r="A9" s="12">
        <v>3</v>
      </c>
      <c r="B9" s="13" t="s">
        <v>13</v>
      </c>
      <c r="C9" s="13" t="s">
        <v>14</v>
      </c>
      <c r="D9" s="14">
        <f t="shared" si="0"/>
        <v>3000</v>
      </c>
      <c r="E9" s="15">
        <f>'Umowa zlecenie'!D20</f>
        <v>2513.5</v>
      </c>
      <c r="F9" s="16">
        <f>'Umowa zlecenie'!D28</f>
        <v>3000</v>
      </c>
    </row>
    <row r="10" spans="1:6" ht="60">
      <c r="A10" s="12">
        <v>4</v>
      </c>
      <c r="B10" s="13" t="s">
        <v>15</v>
      </c>
      <c r="C10" s="13" t="s">
        <v>16</v>
      </c>
      <c r="D10" s="14">
        <f t="shared" si="0"/>
        <v>3000</v>
      </c>
      <c r="E10" s="15">
        <f>'Umowa zlecenie'!E20</f>
        <v>2043.31375</v>
      </c>
      <c r="F10" s="16">
        <f>'Umowa zlecenie'!E28</f>
        <v>3564.3</v>
      </c>
    </row>
    <row r="11" spans="1:6" ht="45">
      <c r="A11" s="12">
        <v>5</v>
      </c>
      <c r="B11" s="13" t="s">
        <v>17</v>
      </c>
      <c r="C11" s="13" t="s">
        <v>18</v>
      </c>
      <c r="D11" s="14">
        <f t="shared" si="0"/>
        <v>3000</v>
      </c>
      <c r="E11" s="15">
        <f>'Umowa zlecenie'!F20</f>
        <v>2544</v>
      </c>
      <c r="F11" s="16">
        <f>'Umowa zlecenie'!F28</f>
        <v>3000</v>
      </c>
    </row>
    <row r="12" spans="1:6" ht="30">
      <c r="A12" s="12">
        <v>6</v>
      </c>
      <c r="B12" s="13" t="s">
        <v>19</v>
      </c>
      <c r="C12" s="17" t="s">
        <v>20</v>
      </c>
      <c r="D12" s="14">
        <f t="shared" si="0"/>
        <v>3000</v>
      </c>
      <c r="E12" s="15">
        <f>'Umowa dzieło'!C20</f>
        <v>2043.31375</v>
      </c>
      <c r="F12" s="16">
        <f>'Umowa dzieło'!C28</f>
        <v>3564.3</v>
      </c>
    </row>
    <row r="13" spans="1:6" ht="45">
      <c r="A13" s="12">
        <v>7</v>
      </c>
      <c r="B13" s="13" t="s">
        <v>21</v>
      </c>
      <c r="C13" s="17" t="s">
        <v>22</v>
      </c>
      <c r="D13" s="14">
        <f t="shared" si="0"/>
        <v>3000</v>
      </c>
      <c r="E13" s="15">
        <f>'Umowa dzieło'!D20</f>
        <v>2544</v>
      </c>
      <c r="F13" s="16">
        <f>'Umowa dzieło'!D28</f>
        <v>3000</v>
      </c>
    </row>
    <row r="14" spans="1:6" ht="30">
      <c r="A14" s="12">
        <v>8</v>
      </c>
      <c r="B14" s="13" t="s">
        <v>23</v>
      </c>
      <c r="C14" s="17" t="s">
        <v>24</v>
      </c>
      <c r="D14" s="14">
        <f t="shared" si="0"/>
        <v>3000</v>
      </c>
      <c r="E14" s="15">
        <f>'Umowa dzieło'!E20</f>
        <v>2182.31375</v>
      </c>
      <c r="F14" s="16">
        <f>'Umowa dzieło'!E28</f>
        <v>3564.3</v>
      </c>
    </row>
    <row r="15" spans="1:6" ht="45">
      <c r="A15" s="12">
        <v>9</v>
      </c>
      <c r="B15" s="13" t="s">
        <v>25</v>
      </c>
      <c r="C15" s="17" t="s">
        <v>26</v>
      </c>
      <c r="D15" s="14">
        <f t="shared" si="0"/>
        <v>3000</v>
      </c>
      <c r="E15" s="15">
        <f>'Umowa dzieło'!F20</f>
        <v>2715</v>
      </c>
      <c r="F15" s="16">
        <f>'Umowa dzieło'!F28</f>
        <v>3000</v>
      </c>
    </row>
    <row r="16" spans="1:6" ht="45">
      <c r="A16" s="12">
        <v>10</v>
      </c>
      <c r="B16" s="13" t="s">
        <v>27</v>
      </c>
      <c r="C16" s="17" t="s">
        <v>28</v>
      </c>
      <c r="D16" s="14">
        <f>$B$4</f>
        <v>3000</v>
      </c>
      <c r="E16" s="15">
        <f>Samozatrudnienie!C17</f>
        <v>737.9400000000002</v>
      </c>
      <c r="F16" s="16">
        <f>Samozatrudnienie!C25</f>
        <v>1500</v>
      </c>
    </row>
    <row r="17" spans="1:6" ht="15.75">
      <c r="A17" s="12">
        <v>11</v>
      </c>
      <c r="B17" s="13" t="s">
        <v>29</v>
      </c>
      <c r="C17" s="13" t="s">
        <v>30</v>
      </c>
      <c r="D17" s="14">
        <f>$B$4</f>
        <v>3000</v>
      </c>
      <c r="E17" s="15" t="e">
        <f>Samozatrudnienie!D17</f>
        <v>#VALUE!</v>
      </c>
      <c r="F17" s="16">
        <f>Samozatrudnienie!D25</f>
        <v>3000</v>
      </c>
    </row>
    <row r="18" spans="1:6" ht="30">
      <c r="A18" s="12">
        <v>12</v>
      </c>
      <c r="B18" s="13" t="s">
        <v>31</v>
      </c>
      <c r="C18" s="13" t="s">
        <v>32</v>
      </c>
      <c r="D18" s="14">
        <f t="shared" si="0"/>
        <v>3000</v>
      </c>
      <c r="E18" s="15">
        <f>'Praca nakładcza'!C18</f>
        <v>2014.3137499999998</v>
      </c>
      <c r="F18" s="16">
        <f>'Praca nakładcza'!C26</f>
        <v>3564.3</v>
      </c>
    </row>
    <row r="19" spans="1:6" ht="15.75">
      <c r="A19" s="12">
        <v>13</v>
      </c>
      <c r="B19" s="13" t="s">
        <v>33</v>
      </c>
      <c r="C19" s="13" t="s">
        <v>34</v>
      </c>
      <c r="D19" s="14">
        <f t="shared" si="0"/>
        <v>3000</v>
      </c>
      <c r="E19" s="15">
        <f>'Praca nakładcza'!D18</f>
        <v>2014.3137499999998</v>
      </c>
      <c r="F19" s="16">
        <f>'Praca nakładcza'!D26</f>
        <v>3564.3</v>
      </c>
    </row>
    <row r="20" spans="1:6" ht="15.75">
      <c r="A20" s="18">
        <v>14</v>
      </c>
      <c r="B20" s="19" t="s">
        <v>35</v>
      </c>
      <c r="C20" s="19" t="s">
        <v>36</v>
      </c>
      <c r="D20" s="14">
        <f t="shared" si="0"/>
        <v>3000</v>
      </c>
      <c r="E20" s="20">
        <f>'Kontrakt menadżerski'!C18</f>
        <v>2248.3825</v>
      </c>
      <c r="F20" s="21">
        <f>'Kontrakt menadżerski'!C26</f>
        <v>3564.3</v>
      </c>
    </row>
    <row r="21" spans="1:6" ht="30">
      <c r="A21" s="22">
        <v>15</v>
      </c>
      <c r="B21" s="23" t="s">
        <v>37</v>
      </c>
      <c r="C21" s="23" t="s">
        <v>38</v>
      </c>
      <c r="D21" s="14">
        <f t="shared" si="0"/>
        <v>3000</v>
      </c>
      <c r="E21" s="24">
        <f>'Kontrakt menadżerski'!D18</f>
        <v>2182.31375</v>
      </c>
      <c r="F21" s="25">
        <f>'Kontrakt menadżerski'!D26</f>
        <v>3618.3</v>
      </c>
    </row>
    <row r="23" spans="2:3" ht="15.75">
      <c r="B23" s="69" t="s">
        <v>39</v>
      </c>
      <c r="C23" s="69"/>
    </row>
  </sheetData>
  <mergeCells count="4">
    <mergeCell ref="B1:D1"/>
    <mergeCell ref="B3:C3"/>
    <mergeCell ref="B4:C4"/>
    <mergeCell ref="B23:C23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F20" sqref="F20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3" width="15.7109375" style="26" customWidth="1"/>
    <col min="4" max="4" width="37.57421875" style="1" customWidth="1"/>
    <col min="5" max="5" width="12.28125" style="26" customWidth="1"/>
    <col min="6" max="16384" width="9.00390625" style="1" customWidth="1"/>
  </cols>
  <sheetData>
    <row r="1" ht="20.25">
      <c r="B1" s="2" t="s">
        <v>40</v>
      </c>
    </row>
    <row r="5" spans="1:4" ht="15.75">
      <c r="A5" s="27" t="s">
        <v>41</v>
      </c>
      <c r="B5" s="28" t="s">
        <v>42</v>
      </c>
      <c r="C5" s="29">
        <f>Podsumowanie!$D$7</f>
        <v>3000</v>
      </c>
      <c r="D5" s="30" t="s">
        <v>43</v>
      </c>
    </row>
    <row r="6" spans="1:4" ht="15">
      <c r="A6" s="27" t="s">
        <v>44</v>
      </c>
      <c r="B6" s="31" t="s">
        <v>45</v>
      </c>
      <c r="C6" s="32">
        <f>C5*9.76%</f>
        <v>292.79999999999995</v>
      </c>
      <c r="D6" s="27" t="s">
        <v>46</v>
      </c>
    </row>
    <row r="7" spans="1:4" ht="15">
      <c r="A7" s="27" t="s">
        <v>47</v>
      </c>
      <c r="B7" s="31" t="s">
        <v>48</v>
      </c>
      <c r="C7" s="32">
        <f>C5*6.5%</f>
        <v>195</v>
      </c>
      <c r="D7" s="27" t="s">
        <v>49</v>
      </c>
    </row>
    <row r="8" spans="1:4" ht="15">
      <c r="A8" s="27" t="s">
        <v>50</v>
      </c>
      <c r="B8" s="31" t="s">
        <v>51</v>
      </c>
      <c r="C8" s="32">
        <f>C5*2.45%</f>
        <v>73.5</v>
      </c>
      <c r="D8" s="27" t="s">
        <v>52</v>
      </c>
    </row>
    <row r="9" spans="1:4" ht="15">
      <c r="A9" s="27" t="s">
        <v>53</v>
      </c>
      <c r="B9" s="31" t="s">
        <v>54</v>
      </c>
      <c r="C9" s="32">
        <f>SUM(C6,C7,C8)</f>
        <v>561.3</v>
      </c>
      <c r="D9" s="27" t="s">
        <v>55</v>
      </c>
    </row>
    <row r="10" spans="1:4" ht="15">
      <c r="A10" s="27" t="s">
        <v>56</v>
      </c>
      <c r="B10" s="31" t="s">
        <v>57</v>
      </c>
      <c r="C10" s="32">
        <v>102.25</v>
      </c>
      <c r="D10" s="27" t="s">
        <v>58</v>
      </c>
    </row>
    <row r="11" spans="1:4" ht="15">
      <c r="A11" s="27" t="s">
        <v>59</v>
      </c>
      <c r="B11" s="31" t="s">
        <v>60</v>
      </c>
      <c r="C11" s="32">
        <f>C5-C9-C10</f>
        <v>2336.45</v>
      </c>
      <c r="D11" s="27" t="s">
        <v>61</v>
      </c>
    </row>
    <row r="12" spans="1:4" ht="15">
      <c r="A12" s="27" t="s">
        <v>62</v>
      </c>
      <c r="B12" s="31" t="s">
        <v>63</v>
      </c>
      <c r="C12" s="32">
        <v>44.17</v>
      </c>
      <c r="D12" s="27" t="s">
        <v>64</v>
      </c>
    </row>
    <row r="13" spans="1:4" ht="15">
      <c r="A13" s="27" t="s">
        <v>65</v>
      </c>
      <c r="B13" s="31" t="s">
        <v>66</v>
      </c>
      <c r="C13" s="32">
        <f>C11*19%-C12</f>
        <v>399.7554999999999</v>
      </c>
      <c r="D13" s="27" t="s">
        <v>67</v>
      </c>
    </row>
    <row r="14" spans="1:4" ht="15">
      <c r="A14" s="27" t="s">
        <v>68</v>
      </c>
      <c r="B14" s="31" t="s">
        <v>69</v>
      </c>
      <c r="C14" s="32">
        <f>(C5-C9)*7.75%</f>
        <v>188.99925</v>
      </c>
      <c r="D14" s="27" t="s">
        <v>70</v>
      </c>
    </row>
    <row r="15" spans="1:4" ht="15">
      <c r="A15" s="27" t="s">
        <v>71</v>
      </c>
      <c r="B15" s="31" t="s">
        <v>72</v>
      </c>
      <c r="C15" s="32">
        <f>(C5-C9)*1%</f>
        <v>24.387</v>
      </c>
      <c r="D15" s="27" t="s">
        <v>73</v>
      </c>
    </row>
    <row r="16" spans="1:4" ht="15">
      <c r="A16" s="27" t="s">
        <v>74</v>
      </c>
      <c r="B16" s="31" t="s">
        <v>75</v>
      </c>
      <c r="C16" s="32">
        <f>ROUND(((C5-C9-C10)*19%-C12-C14),0)</f>
        <v>211</v>
      </c>
      <c r="D16" s="27" t="s">
        <v>76</v>
      </c>
    </row>
    <row r="17" spans="1:4" ht="15.75">
      <c r="A17" s="27" t="s">
        <v>77</v>
      </c>
      <c r="B17" s="33" t="s">
        <v>78</v>
      </c>
      <c r="C17" s="34">
        <f>C5-C9-C16-C14-C15</f>
        <v>2014.3137499999998</v>
      </c>
      <c r="D17" s="27" t="s">
        <v>79</v>
      </c>
    </row>
    <row r="18" spans="1:4" ht="15.75">
      <c r="A18" s="27" t="s">
        <v>80</v>
      </c>
      <c r="B18" s="35" t="s">
        <v>81</v>
      </c>
      <c r="C18" s="32"/>
      <c r="D18" s="27"/>
    </row>
    <row r="19" spans="1:4" ht="15">
      <c r="A19" s="27" t="s">
        <v>82</v>
      </c>
      <c r="B19" s="31" t="s">
        <v>83</v>
      </c>
      <c r="C19" s="32">
        <f>C5*9.76%</f>
        <v>292.79999999999995</v>
      </c>
      <c r="D19" s="27" t="s">
        <v>84</v>
      </c>
    </row>
    <row r="20" spans="1:4" ht="15">
      <c r="A20" s="27" t="s">
        <v>85</v>
      </c>
      <c r="B20" s="31" t="s">
        <v>86</v>
      </c>
      <c r="C20" s="32">
        <f>C5*6.5%</f>
        <v>195</v>
      </c>
      <c r="D20" s="27" t="s">
        <v>87</v>
      </c>
    </row>
    <row r="21" spans="1:4" ht="15">
      <c r="A21" s="27" t="s">
        <v>88</v>
      </c>
      <c r="B21" s="31" t="s">
        <v>89</v>
      </c>
      <c r="C21" s="32">
        <f>C5*1.8%</f>
        <v>54.00000000000001</v>
      </c>
      <c r="D21" s="27" t="s">
        <v>90</v>
      </c>
    </row>
    <row r="22" spans="1:4" ht="15">
      <c r="A22" s="27" t="s">
        <v>91</v>
      </c>
      <c r="B22" s="31" t="s">
        <v>92</v>
      </c>
      <c r="C22" s="32">
        <f>C5*0.1%</f>
        <v>3</v>
      </c>
      <c r="D22" s="27" t="s">
        <v>93</v>
      </c>
    </row>
    <row r="23" spans="1:4" ht="15">
      <c r="A23" s="27" t="s">
        <v>94</v>
      </c>
      <c r="B23" s="31" t="s">
        <v>95</v>
      </c>
      <c r="C23" s="32">
        <f>C5*2.45%</f>
        <v>73.5</v>
      </c>
      <c r="D23" s="27" t="s">
        <v>96</v>
      </c>
    </row>
    <row r="24" spans="1:4" ht="15">
      <c r="A24" s="27" t="s">
        <v>97</v>
      </c>
      <c r="B24" s="31" t="s">
        <v>98</v>
      </c>
      <c r="C24" s="32">
        <f>SUM(C19:C23)</f>
        <v>618.3</v>
      </c>
      <c r="D24" s="27" t="s">
        <v>99</v>
      </c>
    </row>
    <row r="25" spans="1:4" ht="15.75">
      <c r="A25" s="36" t="s">
        <v>100</v>
      </c>
      <c r="B25" s="37" t="s">
        <v>101</v>
      </c>
      <c r="C25" s="38">
        <f>C5+C24</f>
        <v>3618.3</v>
      </c>
      <c r="D25" s="27" t="s">
        <v>102</v>
      </c>
    </row>
    <row r="27" spans="2:4" ht="12.75">
      <c r="B27" s="1" t="s">
        <v>103</v>
      </c>
      <c r="D27" s="26"/>
    </row>
    <row r="28" spans="2:4" ht="12.75">
      <c r="B28" s="1" t="s">
        <v>104</v>
      </c>
      <c r="D28" s="26"/>
    </row>
    <row r="29" ht="12.75">
      <c r="B29" s="39" t="s">
        <v>105</v>
      </c>
    </row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3" width="15.7109375" style="26" customWidth="1"/>
    <col min="4" max="4" width="15.7109375" style="1" customWidth="1"/>
    <col min="5" max="5" width="15.7109375" style="26" customWidth="1"/>
    <col min="6" max="6" width="15.7109375" style="1" customWidth="1"/>
    <col min="7" max="7" width="36.57421875" style="1" customWidth="1"/>
    <col min="8" max="16384" width="9.00390625" style="1" customWidth="1"/>
  </cols>
  <sheetData>
    <row r="1" spans="2:5" ht="20.25">
      <c r="B1" s="66" t="s">
        <v>106</v>
      </c>
      <c r="C1" s="66"/>
      <c r="D1" s="66"/>
      <c r="E1" s="66"/>
    </row>
    <row r="3" spans="2:6" ht="12.75">
      <c r="B3" s="70" t="s">
        <v>107</v>
      </c>
      <c r="C3" s="70"/>
      <c r="D3" s="70"/>
      <c r="E3" s="70"/>
      <c r="F3" s="70"/>
    </row>
    <row r="4" spans="2:6" ht="12.75">
      <c r="B4" s="70" t="s">
        <v>108</v>
      </c>
      <c r="C4" s="70"/>
      <c r="D4" s="70"/>
      <c r="E4" s="70"/>
      <c r="F4" s="70"/>
    </row>
    <row r="5" spans="2:6" ht="12.75">
      <c r="B5" s="70" t="s">
        <v>109</v>
      </c>
      <c r="C5" s="70"/>
      <c r="D5" s="70"/>
      <c r="E5" s="70"/>
      <c r="F5" s="70"/>
    </row>
    <row r="6" spans="2:6" ht="12.75">
      <c r="B6" s="70" t="s">
        <v>110</v>
      </c>
      <c r="C6" s="70"/>
      <c r="D6" s="70"/>
      <c r="E6" s="70"/>
      <c r="F6" s="70"/>
    </row>
    <row r="7" spans="3:6" ht="15.75">
      <c r="C7" s="40" t="s">
        <v>111</v>
      </c>
      <c r="D7" s="41" t="s">
        <v>112</v>
      </c>
      <c r="E7" s="40" t="s">
        <v>113</v>
      </c>
      <c r="F7" s="41" t="s">
        <v>114</v>
      </c>
    </row>
    <row r="8" spans="1:7" ht="15.75">
      <c r="A8" s="27" t="s">
        <v>115</v>
      </c>
      <c r="B8" s="28" t="s">
        <v>116</v>
      </c>
      <c r="C8" s="29">
        <f>Podsumowanie!$D$8</f>
        <v>3000</v>
      </c>
      <c r="D8" s="29">
        <f>Podsumowanie!$D$9</f>
        <v>3000</v>
      </c>
      <c r="E8" s="29">
        <f>Podsumowanie!$D$10</f>
        <v>3000</v>
      </c>
      <c r="F8" s="29">
        <f>Podsumowanie!$D$11</f>
        <v>3000</v>
      </c>
      <c r="G8" s="30" t="s">
        <v>117</v>
      </c>
    </row>
    <row r="9" spans="1:7" ht="15">
      <c r="A9" s="27" t="s">
        <v>118</v>
      </c>
      <c r="B9" s="31" t="s">
        <v>119</v>
      </c>
      <c r="C9" s="32">
        <f>C8*9.76%</f>
        <v>292.79999999999995</v>
      </c>
      <c r="D9" s="32">
        <v>0</v>
      </c>
      <c r="E9" s="32">
        <f>E8*9.76%</f>
        <v>292.79999999999995</v>
      </c>
      <c r="F9" s="32">
        <v>0</v>
      </c>
      <c r="G9" s="27" t="s">
        <v>120</v>
      </c>
    </row>
    <row r="10" spans="1:7" ht="15">
      <c r="A10" s="27" t="s">
        <v>121</v>
      </c>
      <c r="B10" s="31" t="s">
        <v>122</v>
      </c>
      <c r="C10" s="32">
        <f>C8*6.5%</f>
        <v>195</v>
      </c>
      <c r="D10" s="32">
        <v>0</v>
      </c>
      <c r="E10" s="32">
        <f>E8*6.5%</f>
        <v>195</v>
      </c>
      <c r="F10" s="32">
        <v>0</v>
      </c>
      <c r="G10" s="27" t="s">
        <v>123</v>
      </c>
    </row>
    <row r="11" spans="1:7" ht="15">
      <c r="A11" s="27" t="s">
        <v>124</v>
      </c>
      <c r="B11" s="31" t="s">
        <v>125</v>
      </c>
      <c r="C11" s="32">
        <f>C8*2.45%</f>
        <v>73.5</v>
      </c>
      <c r="D11" s="32">
        <v>0</v>
      </c>
      <c r="E11" s="32">
        <f>E8*2.45%</f>
        <v>73.5</v>
      </c>
      <c r="F11" s="32">
        <v>0</v>
      </c>
      <c r="G11" s="27" t="s">
        <v>126</v>
      </c>
    </row>
    <row r="12" spans="1:7" ht="15.75">
      <c r="A12" s="27" t="s">
        <v>127</v>
      </c>
      <c r="B12" s="35" t="s">
        <v>128</v>
      </c>
      <c r="C12" s="42">
        <f>SUM(C9,C10,C11)</f>
        <v>561.3</v>
      </c>
      <c r="D12" s="42">
        <f>SUM(D9,D10,D11)</f>
        <v>0</v>
      </c>
      <c r="E12" s="42">
        <f>SUM(E9,E10,E11)</f>
        <v>561.3</v>
      </c>
      <c r="F12" s="42">
        <f>SUM(F9,F10,F11)</f>
        <v>0</v>
      </c>
      <c r="G12" s="27" t="s">
        <v>129</v>
      </c>
    </row>
    <row r="13" spans="1:7" ht="15">
      <c r="A13" s="27" t="s">
        <v>130</v>
      </c>
      <c r="B13" s="31" t="s">
        <v>131</v>
      </c>
      <c r="C13" s="32">
        <f>(C8-C12)*20%</f>
        <v>487.74</v>
      </c>
      <c r="D13" s="32">
        <f>(D8-D12)*20%</f>
        <v>600</v>
      </c>
      <c r="E13" s="32">
        <f>(E8-E12)*20%</f>
        <v>487.74</v>
      </c>
      <c r="F13" s="32">
        <f>(F8-F12)*20%</f>
        <v>600</v>
      </c>
      <c r="G13" s="43" t="s">
        <v>132</v>
      </c>
    </row>
    <row r="14" spans="1:7" ht="15">
      <c r="A14" s="27" t="s">
        <v>133</v>
      </c>
      <c r="B14" s="31" t="s">
        <v>134</v>
      </c>
      <c r="C14" s="32">
        <f>C8-C12-C13</f>
        <v>1950.9599999999998</v>
      </c>
      <c r="D14" s="32">
        <f>D8-D12-D13</f>
        <v>2400</v>
      </c>
      <c r="E14" s="32">
        <f>E8-E12-E13</f>
        <v>1950.9599999999998</v>
      </c>
      <c r="F14" s="32">
        <f>F8-F12-F13</f>
        <v>2400</v>
      </c>
      <c r="G14" s="27" t="s">
        <v>135</v>
      </c>
    </row>
    <row r="15" spans="1:7" ht="15">
      <c r="A15" s="27" t="s">
        <v>136</v>
      </c>
      <c r="B15" s="31" t="s">
        <v>137</v>
      </c>
      <c r="C15" s="32">
        <v>0</v>
      </c>
      <c r="D15" s="32">
        <v>0</v>
      </c>
      <c r="E15" s="32">
        <v>0</v>
      </c>
      <c r="F15" s="32">
        <v>0</v>
      </c>
      <c r="G15" s="27" t="s">
        <v>138</v>
      </c>
    </row>
    <row r="16" spans="1:7" ht="15">
      <c r="A16" s="27" t="s">
        <v>139</v>
      </c>
      <c r="B16" s="31" t="s">
        <v>140</v>
      </c>
      <c r="C16" s="32">
        <f>C14*19%-C15</f>
        <v>370.6824</v>
      </c>
      <c r="D16" s="32">
        <f>D14*19%-D15</f>
        <v>456</v>
      </c>
      <c r="E16" s="32">
        <f>E14*19%-E15</f>
        <v>370.6824</v>
      </c>
      <c r="F16" s="32">
        <f>F14*19%-F15</f>
        <v>456</v>
      </c>
      <c r="G16" s="27" t="s">
        <v>141</v>
      </c>
    </row>
    <row r="17" spans="1:7" ht="15">
      <c r="A17" s="27" t="s">
        <v>142</v>
      </c>
      <c r="B17" s="31" t="s">
        <v>143</v>
      </c>
      <c r="C17" s="32">
        <f>(C8-C12)*7.75%</f>
        <v>188.99925</v>
      </c>
      <c r="D17" s="32">
        <f>(D8-D12)*7.75%</f>
        <v>232.5</v>
      </c>
      <c r="E17" s="32">
        <f>(E8-E12)*7.75%</f>
        <v>188.99925</v>
      </c>
      <c r="F17" s="32">
        <v>0</v>
      </c>
      <c r="G17" s="27" t="s">
        <v>144</v>
      </c>
    </row>
    <row r="18" spans="1:7" ht="15">
      <c r="A18" s="27" t="s">
        <v>145</v>
      </c>
      <c r="B18" s="31" t="s">
        <v>146</v>
      </c>
      <c r="C18" s="32">
        <f>(C8-C12)*1%</f>
        <v>24.387</v>
      </c>
      <c r="D18" s="32">
        <f>(D8-D12)*1%</f>
        <v>30</v>
      </c>
      <c r="E18" s="32">
        <f>(E8-E12)*1%</f>
        <v>24.387</v>
      </c>
      <c r="F18" s="32">
        <v>0</v>
      </c>
      <c r="G18" s="27" t="s">
        <v>147</v>
      </c>
    </row>
    <row r="19" spans="1:7" ht="15">
      <c r="A19" s="27" t="s">
        <v>148</v>
      </c>
      <c r="B19" s="31" t="s">
        <v>149</v>
      </c>
      <c r="C19" s="32">
        <f>ROUND(((C8-C12-C13)*19%-C15-C17),0)</f>
        <v>182</v>
      </c>
      <c r="D19" s="32">
        <f>ROUND(((D8-D12-D13)*19%-D15-D17),0)</f>
        <v>224</v>
      </c>
      <c r="E19" s="32">
        <f>ROUND(((E8-E12-E13)*19%-E15-E17),0)</f>
        <v>182</v>
      </c>
      <c r="F19" s="32">
        <f>ROUND(((F8-F12-F13)*19%-F15-F17),0)</f>
        <v>456</v>
      </c>
      <c r="G19" s="27" t="s">
        <v>150</v>
      </c>
    </row>
    <row r="20" spans="1:7" ht="15.75">
      <c r="A20" s="27" t="s">
        <v>151</v>
      </c>
      <c r="B20" s="33" t="s">
        <v>152</v>
      </c>
      <c r="C20" s="34">
        <f>C8-C12-C19-C17-C18</f>
        <v>2043.31375</v>
      </c>
      <c r="D20" s="34">
        <f>D8-D12-D19-D17-D18</f>
        <v>2513.5</v>
      </c>
      <c r="E20" s="34">
        <f>E8-E12-E19-E17-E18</f>
        <v>2043.31375</v>
      </c>
      <c r="F20" s="34">
        <f>F8-F12-F19-F17-F18</f>
        <v>2544</v>
      </c>
      <c r="G20" s="27" t="s">
        <v>153</v>
      </c>
    </row>
    <row r="21" spans="1:7" ht="15.75">
      <c r="A21" s="27" t="s">
        <v>154</v>
      </c>
      <c r="B21" s="35" t="s">
        <v>155</v>
      </c>
      <c r="C21" s="32"/>
      <c r="D21" s="32"/>
      <c r="E21" s="32"/>
      <c r="F21" s="32"/>
      <c r="G21" s="27"/>
    </row>
    <row r="22" spans="1:7" ht="15">
      <c r="A22" s="27" t="s">
        <v>156</v>
      </c>
      <c r="B22" s="31" t="s">
        <v>157</v>
      </c>
      <c r="C22" s="32">
        <f>C8*9.76%</f>
        <v>292.79999999999995</v>
      </c>
      <c r="D22" s="32">
        <v>0</v>
      </c>
      <c r="E22" s="32">
        <f>E8*9.76%</f>
        <v>292.79999999999995</v>
      </c>
      <c r="F22" s="32">
        <v>0</v>
      </c>
      <c r="G22" s="27" t="s">
        <v>158</v>
      </c>
    </row>
    <row r="23" spans="1:7" ht="15">
      <c r="A23" s="27" t="s">
        <v>159</v>
      </c>
      <c r="B23" s="31" t="s">
        <v>160</v>
      </c>
      <c r="C23" s="32">
        <f>C8*6.5%</f>
        <v>195</v>
      </c>
      <c r="D23" s="32">
        <v>0</v>
      </c>
      <c r="E23" s="32">
        <f>E8*6.5%</f>
        <v>195</v>
      </c>
      <c r="F23" s="32">
        <v>0</v>
      </c>
      <c r="G23" s="27" t="s">
        <v>161</v>
      </c>
    </row>
    <row r="24" spans="1:7" ht="15">
      <c r="A24" s="27" t="s">
        <v>162</v>
      </c>
      <c r="B24" s="31" t="s">
        <v>163</v>
      </c>
      <c r="C24" s="32">
        <v>0</v>
      </c>
      <c r="D24" s="32">
        <v>0</v>
      </c>
      <c r="E24" s="32">
        <v>0</v>
      </c>
      <c r="F24" s="32">
        <v>0</v>
      </c>
      <c r="G24" s="27" t="s">
        <v>164</v>
      </c>
    </row>
    <row r="25" spans="1:7" ht="15">
      <c r="A25" s="27" t="s">
        <v>165</v>
      </c>
      <c r="B25" s="31" t="s">
        <v>166</v>
      </c>
      <c r="C25" s="32">
        <f>C8*0.1%</f>
        <v>3</v>
      </c>
      <c r="D25" s="32">
        <v>0</v>
      </c>
      <c r="E25" s="32">
        <f>E8*0.1%</f>
        <v>3</v>
      </c>
      <c r="F25" s="32">
        <v>0</v>
      </c>
      <c r="G25" s="27" t="s">
        <v>167</v>
      </c>
    </row>
    <row r="26" spans="1:7" ht="15">
      <c r="A26" s="27" t="s">
        <v>168</v>
      </c>
      <c r="B26" s="31" t="s">
        <v>169</v>
      </c>
      <c r="C26" s="32">
        <f>C8*2.45%</f>
        <v>73.5</v>
      </c>
      <c r="D26" s="32">
        <v>0</v>
      </c>
      <c r="E26" s="32">
        <f>E8*2.45%</f>
        <v>73.5</v>
      </c>
      <c r="F26" s="32">
        <v>0</v>
      </c>
      <c r="G26" s="27" t="s">
        <v>170</v>
      </c>
    </row>
    <row r="27" spans="1:7" ht="15.75">
      <c r="A27" s="27" t="s">
        <v>171</v>
      </c>
      <c r="B27" s="35" t="s">
        <v>172</v>
      </c>
      <c r="C27" s="42">
        <f>SUM(C22:C26)</f>
        <v>564.3</v>
      </c>
      <c r="D27" s="42">
        <f>SUM(D22:D26)</f>
        <v>0</v>
      </c>
      <c r="E27" s="42">
        <f>SUM(E22:E26)</f>
        <v>564.3</v>
      </c>
      <c r="F27" s="42">
        <f>SUM(F22:F26)</f>
        <v>0</v>
      </c>
      <c r="G27" s="27" t="s">
        <v>173</v>
      </c>
    </row>
    <row r="28" spans="1:7" ht="15.75">
      <c r="A28" s="36" t="s">
        <v>174</v>
      </c>
      <c r="B28" s="37" t="s">
        <v>175</v>
      </c>
      <c r="C28" s="38">
        <f>C8+C27</f>
        <v>3564.3</v>
      </c>
      <c r="D28" s="38">
        <f>D8+D27</f>
        <v>3000</v>
      </c>
      <c r="E28" s="38">
        <f>E8+E27</f>
        <v>3564.3</v>
      </c>
      <c r="F28" s="38">
        <f>F8+F27</f>
        <v>3000</v>
      </c>
      <c r="G28" s="27" t="s">
        <v>176</v>
      </c>
    </row>
    <row r="30" spans="2:6" ht="12.75">
      <c r="B30" s="71" t="s">
        <v>177</v>
      </c>
      <c r="C30" s="71"/>
      <c r="D30" s="71"/>
      <c r="E30" s="71"/>
      <c r="F30" s="44">
        <f>C8*1.8%</f>
        <v>54.00000000000001</v>
      </c>
    </row>
    <row r="31" ht="12.75">
      <c r="B31" s="1" t="s">
        <v>178</v>
      </c>
    </row>
    <row r="32" ht="12.75">
      <c r="B32" s="39" t="s">
        <v>179</v>
      </c>
    </row>
  </sheetData>
  <mergeCells count="6">
    <mergeCell ref="B6:F6"/>
    <mergeCell ref="B30:E30"/>
    <mergeCell ref="B1:E1"/>
    <mergeCell ref="B3:F3"/>
    <mergeCell ref="B4:F4"/>
    <mergeCell ref="B5:F5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3" width="15.7109375" style="26" customWidth="1"/>
    <col min="4" max="4" width="15.7109375" style="1" customWidth="1"/>
    <col min="5" max="5" width="15.7109375" style="26" customWidth="1"/>
    <col min="6" max="6" width="15.7109375" style="1" customWidth="1"/>
    <col min="7" max="7" width="36.57421875" style="1" customWidth="1"/>
    <col min="8" max="16384" width="9.00390625" style="1" customWidth="1"/>
  </cols>
  <sheetData>
    <row r="1" spans="2:5" ht="20.25">
      <c r="B1" s="66" t="s">
        <v>180</v>
      </c>
      <c r="C1" s="66"/>
      <c r="D1" s="66"/>
      <c r="E1" s="66"/>
    </row>
    <row r="3" spans="2:6" ht="12.75">
      <c r="B3" s="70" t="s">
        <v>181</v>
      </c>
      <c r="C3" s="70"/>
      <c r="D3" s="70"/>
      <c r="E3" s="70"/>
      <c r="F3" s="70"/>
    </row>
    <row r="4" spans="2:6" ht="12.75">
      <c r="B4" s="70" t="s">
        <v>182</v>
      </c>
      <c r="C4" s="70"/>
      <c r="D4" s="70"/>
      <c r="E4" s="70"/>
      <c r="F4" s="70"/>
    </row>
    <row r="5" spans="2:6" ht="12.75">
      <c r="B5" s="70" t="s">
        <v>183</v>
      </c>
      <c r="C5" s="70"/>
      <c r="D5" s="70"/>
      <c r="E5" s="70"/>
      <c r="F5" s="70"/>
    </row>
    <row r="6" spans="2:6" ht="12.75">
      <c r="B6" s="70" t="s">
        <v>184</v>
      </c>
      <c r="C6" s="70"/>
      <c r="D6" s="70"/>
      <c r="E6" s="70"/>
      <c r="F6" s="70"/>
    </row>
    <row r="7" spans="3:6" ht="15.75">
      <c r="C7" s="40" t="s">
        <v>185</v>
      </c>
      <c r="D7" s="41" t="s">
        <v>186</v>
      </c>
      <c r="E7" s="40" t="s">
        <v>187</v>
      </c>
      <c r="F7" s="41" t="s">
        <v>188</v>
      </c>
    </row>
    <row r="8" spans="1:7" ht="15.75">
      <c r="A8" s="27" t="s">
        <v>189</v>
      </c>
      <c r="B8" s="28" t="s">
        <v>190</v>
      </c>
      <c r="C8" s="29">
        <f>Podsumowanie!$D$12</f>
        <v>3000</v>
      </c>
      <c r="D8" s="29">
        <f>Podsumowanie!$D$13</f>
        <v>3000</v>
      </c>
      <c r="E8" s="29">
        <f>Podsumowanie!$D$14</f>
        <v>3000</v>
      </c>
      <c r="F8" s="29">
        <f>Podsumowanie!$D$15</f>
        <v>3000</v>
      </c>
      <c r="G8" s="30" t="s">
        <v>191</v>
      </c>
    </row>
    <row r="9" spans="1:7" ht="15">
      <c r="A9" s="27" t="s">
        <v>192</v>
      </c>
      <c r="B9" s="31" t="s">
        <v>193</v>
      </c>
      <c r="C9" s="32">
        <f>C8*9.76%</f>
        <v>292.79999999999995</v>
      </c>
      <c r="D9" s="32">
        <v>0</v>
      </c>
      <c r="E9" s="32">
        <f>E8*9.76%</f>
        <v>292.79999999999995</v>
      </c>
      <c r="F9" s="32">
        <v>0</v>
      </c>
      <c r="G9" s="27" t="s">
        <v>194</v>
      </c>
    </row>
    <row r="10" spans="1:7" ht="15">
      <c r="A10" s="27" t="s">
        <v>195</v>
      </c>
      <c r="B10" s="31" t="s">
        <v>196</v>
      </c>
      <c r="C10" s="32">
        <f>C8*6.5%</f>
        <v>195</v>
      </c>
      <c r="D10" s="32">
        <v>0</v>
      </c>
      <c r="E10" s="32">
        <f>E8*6.5%</f>
        <v>195</v>
      </c>
      <c r="F10" s="32">
        <v>0</v>
      </c>
      <c r="G10" s="27" t="s">
        <v>197</v>
      </c>
    </row>
    <row r="11" spans="1:7" ht="15">
      <c r="A11" s="27" t="s">
        <v>198</v>
      </c>
      <c r="B11" s="31" t="s">
        <v>199</v>
      </c>
      <c r="C11" s="32">
        <f>C8*2.45%</f>
        <v>73.5</v>
      </c>
      <c r="D11" s="32">
        <v>0</v>
      </c>
      <c r="E11" s="32">
        <f>E8*2.45%</f>
        <v>73.5</v>
      </c>
      <c r="F11" s="32">
        <v>0</v>
      </c>
      <c r="G11" s="27" t="s">
        <v>200</v>
      </c>
    </row>
    <row r="12" spans="1:7" ht="15.75">
      <c r="A12" s="27" t="s">
        <v>201</v>
      </c>
      <c r="B12" s="35" t="s">
        <v>202</v>
      </c>
      <c r="C12" s="42">
        <f>SUM(C9,C10,C11)</f>
        <v>561.3</v>
      </c>
      <c r="D12" s="42">
        <f>SUM(D9,D10,D11)</f>
        <v>0</v>
      </c>
      <c r="E12" s="42">
        <f>SUM(E9,E10,E11)</f>
        <v>561.3</v>
      </c>
      <c r="F12" s="42">
        <f>SUM(F9,F10,F11)</f>
        <v>0</v>
      </c>
      <c r="G12" s="27" t="s">
        <v>203</v>
      </c>
    </row>
    <row r="13" spans="1:7" ht="15">
      <c r="A13" s="27" t="s">
        <v>204</v>
      </c>
      <c r="B13" s="31" t="s">
        <v>205</v>
      </c>
      <c r="C13" s="32">
        <f>(C8-C12)*20%</f>
        <v>487.74</v>
      </c>
      <c r="D13" s="32">
        <f>(D8-D12)*20%</f>
        <v>600</v>
      </c>
      <c r="E13" s="32">
        <f>(E8-E12)*50%</f>
        <v>1219.35</v>
      </c>
      <c r="F13" s="32">
        <f>(F8-F12)*50%</f>
        <v>1500</v>
      </c>
      <c r="G13" s="43" t="s">
        <v>206</v>
      </c>
    </row>
    <row r="14" spans="1:7" ht="15">
      <c r="A14" s="27" t="s">
        <v>207</v>
      </c>
      <c r="B14" s="31" t="s">
        <v>208</v>
      </c>
      <c r="C14" s="32">
        <f>C8-C12-C13</f>
        <v>1950.9599999999998</v>
      </c>
      <c r="D14" s="32">
        <f>D8-D12-D13</f>
        <v>2400</v>
      </c>
      <c r="E14" s="32">
        <f>E8-E12-E13</f>
        <v>1219.35</v>
      </c>
      <c r="F14" s="32">
        <f>F8-F12-F13</f>
        <v>1500</v>
      </c>
      <c r="G14" s="27" t="s">
        <v>209</v>
      </c>
    </row>
    <row r="15" spans="1:7" ht="15">
      <c r="A15" s="27" t="s">
        <v>210</v>
      </c>
      <c r="B15" s="31" t="s">
        <v>211</v>
      </c>
      <c r="C15" s="32">
        <v>0</v>
      </c>
      <c r="D15" s="32">
        <v>0</v>
      </c>
      <c r="E15" s="32">
        <v>0</v>
      </c>
      <c r="F15" s="32">
        <v>0</v>
      </c>
      <c r="G15" s="27" t="s">
        <v>212</v>
      </c>
    </row>
    <row r="16" spans="1:7" ht="15">
      <c r="A16" s="27" t="s">
        <v>213</v>
      </c>
      <c r="B16" s="31" t="s">
        <v>214</v>
      </c>
      <c r="C16" s="32">
        <f>C14*19%-C15</f>
        <v>370.6824</v>
      </c>
      <c r="D16" s="32">
        <f>D14*19%-D15</f>
        <v>456</v>
      </c>
      <c r="E16" s="32">
        <f>E14*19%-E15</f>
        <v>231.67649999999998</v>
      </c>
      <c r="F16" s="32">
        <f>F14*19%-F15</f>
        <v>285</v>
      </c>
      <c r="G16" s="27" t="s">
        <v>215</v>
      </c>
    </row>
    <row r="17" spans="1:7" ht="15">
      <c r="A17" s="27" t="s">
        <v>216</v>
      </c>
      <c r="B17" s="31" t="s">
        <v>217</v>
      </c>
      <c r="C17" s="32">
        <f>(C8-C12)*7.75%</f>
        <v>188.99925</v>
      </c>
      <c r="D17" s="32">
        <v>0</v>
      </c>
      <c r="E17" s="32">
        <f>(E8-E12)*7.75%</f>
        <v>188.99925</v>
      </c>
      <c r="F17" s="32">
        <v>0</v>
      </c>
      <c r="G17" s="27" t="s">
        <v>218</v>
      </c>
    </row>
    <row r="18" spans="1:7" ht="15">
      <c r="A18" s="27" t="s">
        <v>219</v>
      </c>
      <c r="B18" s="31" t="s">
        <v>220</v>
      </c>
      <c r="C18" s="32">
        <f>(C8-C12)*1%</f>
        <v>24.387</v>
      </c>
      <c r="D18" s="32">
        <v>0</v>
      </c>
      <c r="E18" s="32">
        <f>(E8-E12)*1%</f>
        <v>24.387</v>
      </c>
      <c r="F18" s="32">
        <v>0</v>
      </c>
      <c r="G18" s="27" t="s">
        <v>221</v>
      </c>
    </row>
    <row r="19" spans="1:7" ht="15">
      <c r="A19" s="27" t="s">
        <v>222</v>
      </c>
      <c r="B19" s="31" t="s">
        <v>223</v>
      </c>
      <c r="C19" s="32">
        <f>ROUND(((C8-C12-C13)*19%-C15-C17),0)</f>
        <v>182</v>
      </c>
      <c r="D19" s="32">
        <f>ROUND(((D8-D12-D13)*19%-D15-D17),0)</f>
        <v>456</v>
      </c>
      <c r="E19" s="32">
        <f>ROUND(((E8-E12-E13)*19%-E15-E17),0)</f>
        <v>43</v>
      </c>
      <c r="F19" s="32">
        <f>ROUND(((F8-F12-F13)*19%-F15-F17),0)</f>
        <v>285</v>
      </c>
      <c r="G19" s="27" t="s">
        <v>224</v>
      </c>
    </row>
    <row r="20" spans="1:7" ht="15.75">
      <c r="A20" s="27" t="s">
        <v>225</v>
      </c>
      <c r="B20" s="33" t="s">
        <v>226</v>
      </c>
      <c r="C20" s="34">
        <f>C8-C12-C19-C17-C18</f>
        <v>2043.31375</v>
      </c>
      <c r="D20" s="34">
        <f>D8-D12-D19-D17-D18</f>
        <v>2544</v>
      </c>
      <c r="E20" s="34">
        <f>E8-E12-E19-E17-E18</f>
        <v>2182.31375</v>
      </c>
      <c r="F20" s="34">
        <f>F8-F12-F19-F17-F18</f>
        <v>2715</v>
      </c>
      <c r="G20" s="27" t="s">
        <v>227</v>
      </c>
    </row>
    <row r="21" spans="1:7" ht="15.75">
      <c r="A21" s="27" t="s">
        <v>228</v>
      </c>
      <c r="B21" s="35" t="s">
        <v>229</v>
      </c>
      <c r="C21" s="32"/>
      <c r="D21" s="32"/>
      <c r="E21" s="32"/>
      <c r="F21" s="32"/>
      <c r="G21" s="27"/>
    </row>
    <row r="22" spans="1:7" ht="15">
      <c r="A22" s="27" t="s">
        <v>230</v>
      </c>
      <c r="B22" s="31" t="s">
        <v>231</v>
      </c>
      <c r="C22" s="32">
        <f>C8*9.76%</f>
        <v>292.79999999999995</v>
      </c>
      <c r="D22" s="32">
        <v>0</v>
      </c>
      <c r="E22" s="32">
        <f>E8*9.76%</f>
        <v>292.79999999999995</v>
      </c>
      <c r="F22" s="32">
        <v>0</v>
      </c>
      <c r="G22" s="27" t="s">
        <v>232</v>
      </c>
    </row>
    <row r="23" spans="1:7" ht="15">
      <c r="A23" s="27" t="s">
        <v>233</v>
      </c>
      <c r="B23" s="31" t="s">
        <v>234</v>
      </c>
      <c r="C23" s="32">
        <f>C8*6.5%</f>
        <v>195</v>
      </c>
      <c r="D23" s="32">
        <v>0</v>
      </c>
      <c r="E23" s="32">
        <f>E8*6.5%</f>
        <v>195</v>
      </c>
      <c r="F23" s="32">
        <v>0</v>
      </c>
      <c r="G23" s="27" t="s">
        <v>235</v>
      </c>
    </row>
    <row r="24" spans="1:7" ht="15">
      <c r="A24" s="27" t="s">
        <v>236</v>
      </c>
      <c r="B24" s="31" t="s">
        <v>237</v>
      </c>
      <c r="C24" s="32">
        <v>0</v>
      </c>
      <c r="D24" s="32">
        <v>0</v>
      </c>
      <c r="E24" s="32">
        <v>0</v>
      </c>
      <c r="F24" s="32">
        <v>0</v>
      </c>
      <c r="G24" s="27" t="s">
        <v>238</v>
      </c>
    </row>
    <row r="25" spans="1:7" ht="15">
      <c r="A25" s="27" t="s">
        <v>239</v>
      </c>
      <c r="B25" s="31" t="s">
        <v>240</v>
      </c>
      <c r="C25" s="32">
        <f>C8*0.1%</f>
        <v>3</v>
      </c>
      <c r="D25" s="32">
        <v>0</v>
      </c>
      <c r="E25" s="32">
        <f>E8*0.1%</f>
        <v>3</v>
      </c>
      <c r="F25" s="32">
        <v>0</v>
      </c>
      <c r="G25" s="27" t="s">
        <v>241</v>
      </c>
    </row>
    <row r="26" spans="1:7" ht="15">
      <c r="A26" s="27" t="s">
        <v>242</v>
      </c>
      <c r="B26" s="31" t="s">
        <v>243</v>
      </c>
      <c r="C26" s="32">
        <f>C8*2.45%</f>
        <v>73.5</v>
      </c>
      <c r="D26" s="32">
        <v>0</v>
      </c>
      <c r="E26" s="32">
        <f>E8*2.45%</f>
        <v>73.5</v>
      </c>
      <c r="F26" s="32">
        <v>0</v>
      </c>
      <c r="G26" s="27" t="s">
        <v>244</v>
      </c>
    </row>
    <row r="27" spans="1:7" ht="15.75">
      <c r="A27" s="27" t="s">
        <v>245</v>
      </c>
      <c r="B27" s="35" t="s">
        <v>246</v>
      </c>
      <c r="C27" s="42">
        <f>SUM(C22:C26)</f>
        <v>564.3</v>
      </c>
      <c r="D27" s="42">
        <f>SUM(D22:D26)</f>
        <v>0</v>
      </c>
      <c r="E27" s="42">
        <f>SUM(E22:E26)</f>
        <v>564.3</v>
      </c>
      <c r="F27" s="42">
        <f>SUM(F22:F26)</f>
        <v>0</v>
      </c>
      <c r="G27" s="27" t="s">
        <v>247</v>
      </c>
    </row>
    <row r="28" spans="1:7" ht="15.75">
      <c r="A28" s="36" t="s">
        <v>248</v>
      </c>
      <c r="B28" s="37" t="s">
        <v>249</v>
      </c>
      <c r="C28" s="38">
        <f>C8+C27</f>
        <v>3564.3</v>
      </c>
      <c r="D28" s="38">
        <f>D8+D27</f>
        <v>3000</v>
      </c>
      <c r="E28" s="38">
        <f>E8+E27</f>
        <v>3564.3</v>
      </c>
      <c r="F28" s="38">
        <f>F8+F27</f>
        <v>3000</v>
      </c>
      <c r="G28" s="27" t="s">
        <v>250</v>
      </c>
    </row>
    <row r="30" spans="2:6" ht="12.75">
      <c r="B30" s="71" t="s">
        <v>251</v>
      </c>
      <c r="C30" s="71"/>
      <c r="D30" s="71"/>
      <c r="E30" s="71"/>
      <c r="F30" s="44">
        <f>C8*1.8%</f>
        <v>54.00000000000001</v>
      </c>
    </row>
    <row r="31" ht="12.75">
      <c r="B31" s="1" t="s">
        <v>252</v>
      </c>
    </row>
    <row r="32" ht="12.75">
      <c r="B32" s="39" t="s">
        <v>253</v>
      </c>
    </row>
  </sheetData>
  <mergeCells count="6">
    <mergeCell ref="B6:F6"/>
    <mergeCell ref="B30:E30"/>
    <mergeCell ref="B1:E1"/>
    <mergeCell ref="B3:F3"/>
    <mergeCell ref="B4:F4"/>
    <mergeCell ref="B5:F5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3" width="15.7109375" style="26" customWidth="1"/>
    <col min="4" max="6" width="15.7109375" style="1" customWidth="1"/>
    <col min="7" max="8" width="14.7109375" style="1" customWidth="1"/>
    <col min="9" max="16384" width="9.00390625" style="1" customWidth="1"/>
  </cols>
  <sheetData>
    <row r="1" spans="2:4" ht="20.25">
      <c r="B1" s="66" t="s">
        <v>254</v>
      </c>
      <c r="C1" s="66"/>
      <c r="D1" s="66"/>
    </row>
    <row r="3" spans="2:4" ht="12.75">
      <c r="B3" s="70" t="s">
        <v>255</v>
      </c>
      <c r="C3" s="70"/>
      <c r="D3" s="70"/>
    </row>
    <row r="4" spans="2:8" ht="12.75">
      <c r="B4" s="70" t="s">
        <v>256</v>
      </c>
      <c r="C4" s="70"/>
      <c r="D4" s="70"/>
      <c r="G4" s="72" t="s">
        <v>257</v>
      </c>
      <c r="H4" s="72"/>
    </row>
    <row r="5" spans="3:8" ht="15.75">
      <c r="C5" s="40" t="s">
        <v>258</v>
      </c>
      <c r="D5" s="41" t="s">
        <v>259</v>
      </c>
      <c r="E5" s="41" t="s">
        <v>260</v>
      </c>
      <c r="F5" s="45" t="s">
        <v>261</v>
      </c>
      <c r="G5" s="46" t="s">
        <v>262</v>
      </c>
      <c r="H5" s="46" t="s">
        <v>263</v>
      </c>
    </row>
    <row r="6" spans="1:8" ht="15.75">
      <c r="A6" s="27" t="s">
        <v>264</v>
      </c>
      <c r="B6" s="28" t="s">
        <v>265</v>
      </c>
      <c r="C6" s="29">
        <v>1500</v>
      </c>
      <c r="D6" s="29">
        <f>Podsumowanie!$D$17</f>
        <v>3000</v>
      </c>
      <c r="E6" s="47">
        <f>Podsumowanie!$D$17</f>
        <v>3000</v>
      </c>
      <c r="F6" s="48">
        <f>Podsumowanie!$D$17</f>
        <v>3000</v>
      </c>
      <c r="G6" s="49"/>
      <c r="H6" s="49"/>
    </row>
    <row r="7" spans="1:8" ht="15">
      <c r="A7" s="27" t="s">
        <v>266</v>
      </c>
      <c r="B7" s="31" t="s">
        <v>267</v>
      </c>
      <c r="C7" s="32">
        <v>296.34</v>
      </c>
      <c r="D7" s="32">
        <f>D6*19.52%</f>
        <v>585.5999999999999</v>
      </c>
      <c r="E7" s="50">
        <f>E27*19.52%</f>
        <v>296.33507199999997</v>
      </c>
      <c r="F7" s="51">
        <f>F27*19.52%</f>
        <v>52.651296</v>
      </c>
      <c r="G7" s="27" t="s">
        <v>268</v>
      </c>
      <c r="H7" s="27" t="s">
        <v>269</v>
      </c>
    </row>
    <row r="8" spans="1:8" ht="15">
      <c r="A8" s="27" t="s">
        <v>270</v>
      </c>
      <c r="B8" s="31" t="s">
        <v>271</v>
      </c>
      <c r="C8" s="32">
        <v>197.35</v>
      </c>
      <c r="D8" s="32">
        <f>D6*13%</f>
        <v>390</v>
      </c>
      <c r="E8" s="50">
        <f>E27*13%</f>
        <v>197.3543</v>
      </c>
      <c r="F8" s="51">
        <f>F27*13%</f>
        <v>35.0649</v>
      </c>
      <c r="G8" s="27" t="s">
        <v>272</v>
      </c>
      <c r="H8" s="27" t="s">
        <v>273</v>
      </c>
    </row>
    <row r="9" spans="1:8" ht="15">
      <c r="A9" s="27" t="s">
        <v>274</v>
      </c>
      <c r="B9" s="31" t="s">
        <v>275</v>
      </c>
      <c r="C9" s="32">
        <v>37.19</v>
      </c>
      <c r="D9" s="32">
        <f>D6*2.45%</f>
        <v>73.5</v>
      </c>
      <c r="E9" s="50">
        <f>E27*2.45%</f>
        <v>37.193695</v>
      </c>
      <c r="F9" s="51">
        <f>F27*2.45%</f>
        <v>6.608385000000001</v>
      </c>
      <c r="G9" s="27" t="s">
        <v>276</v>
      </c>
      <c r="H9" s="27" t="s">
        <v>277</v>
      </c>
    </row>
    <row r="10" spans="1:8" ht="15.75">
      <c r="A10" s="27" t="s">
        <v>278</v>
      </c>
      <c r="B10" s="35" t="s">
        <v>279</v>
      </c>
      <c r="C10" s="42">
        <f>SUM(C7,C8,C9)</f>
        <v>530.8799999999999</v>
      </c>
      <c r="D10" s="42">
        <f>SUM(D7,D8,D9)</f>
        <v>1049.1</v>
      </c>
      <c r="E10" s="52">
        <f>SUM(E7,E8,E9)</f>
        <v>530.883067</v>
      </c>
      <c r="F10" s="53">
        <f>SUM(F7,F8,F9)</f>
        <v>94.324581</v>
      </c>
      <c r="G10" s="27" t="s">
        <v>280</v>
      </c>
      <c r="H10" s="27" t="s">
        <v>281</v>
      </c>
    </row>
    <row r="11" spans="1:8" ht="15.75">
      <c r="A11" s="27" t="s">
        <v>282</v>
      </c>
      <c r="B11" s="35" t="s">
        <v>283</v>
      </c>
      <c r="C11" s="42">
        <v>166.66</v>
      </c>
      <c r="D11" s="42" t="e">
        <f>(D6)*8.75%</f>
        <v>#VALUE!</v>
      </c>
      <c r="E11" s="52" t="e">
        <f>(E28)*8.75%</f>
        <v>#VALUE!</v>
      </c>
      <c r="F11" s="53" t="e">
        <f>(F28)*8.75%</f>
        <v>#VALUE!</v>
      </c>
      <c r="G11" s="27" t="s">
        <v>284</v>
      </c>
      <c r="H11" s="27" t="s">
        <v>285</v>
      </c>
    </row>
    <row r="12" spans="1:8" ht="15">
      <c r="A12" s="27" t="s">
        <v>286</v>
      </c>
      <c r="B12" s="31" t="s">
        <v>287</v>
      </c>
      <c r="C12" s="32">
        <v>27.33</v>
      </c>
      <c r="D12" s="32">
        <f>D6*1.8%</f>
        <v>54.00000000000001</v>
      </c>
      <c r="E12" s="50">
        <f>E27*1.8%</f>
        <v>27.32598</v>
      </c>
      <c r="F12" s="51">
        <f>F27*1.8%</f>
        <v>4.8551400000000005</v>
      </c>
      <c r="G12" s="27" t="s">
        <v>288</v>
      </c>
      <c r="H12" s="27" t="s">
        <v>289</v>
      </c>
    </row>
    <row r="13" spans="1:8" ht="15">
      <c r="A13" s="27" t="s">
        <v>290</v>
      </c>
      <c r="B13" s="31" t="s">
        <v>291</v>
      </c>
      <c r="C13" s="32">
        <v>0</v>
      </c>
      <c r="D13" s="32">
        <v>0</v>
      </c>
      <c r="E13" s="54">
        <v>0</v>
      </c>
      <c r="F13" s="55">
        <v>0</v>
      </c>
      <c r="G13" s="27" t="s">
        <v>292</v>
      </c>
      <c r="H13" s="27" t="s">
        <v>293</v>
      </c>
    </row>
    <row r="14" spans="1:8" ht="15">
      <c r="A14" s="27" t="s">
        <v>294</v>
      </c>
      <c r="B14" s="31" t="s">
        <v>295</v>
      </c>
      <c r="C14" s="32">
        <v>37.19</v>
      </c>
      <c r="D14" s="32">
        <f>D6*2.45%</f>
        <v>73.5</v>
      </c>
      <c r="E14" s="50">
        <f>E27*2.45%</f>
        <v>37.193695</v>
      </c>
      <c r="F14" s="55">
        <v>0</v>
      </c>
      <c r="G14" s="27" t="s">
        <v>296</v>
      </c>
      <c r="H14" s="27" t="s">
        <v>297</v>
      </c>
    </row>
    <row r="15" spans="1:8" ht="15.75">
      <c r="A15" s="27" t="s">
        <v>298</v>
      </c>
      <c r="B15" s="35" t="s">
        <v>299</v>
      </c>
      <c r="C15" s="42">
        <f>SUM(C12:C14)</f>
        <v>64.52</v>
      </c>
      <c r="D15" s="42">
        <f>SUM(D12:D14)</f>
        <v>127.5</v>
      </c>
      <c r="E15" s="52">
        <f>SUM(E12:E14)</f>
        <v>64.519675</v>
      </c>
      <c r="F15" s="53">
        <f>SUM(F12:F14)</f>
        <v>4.8551400000000005</v>
      </c>
      <c r="G15" s="27" t="s">
        <v>300</v>
      </c>
      <c r="H15" s="27" t="s">
        <v>301</v>
      </c>
    </row>
    <row r="16" spans="1:8" ht="15.75">
      <c r="A16" s="27" t="s">
        <v>302</v>
      </c>
      <c r="B16" s="35" t="s">
        <v>303</v>
      </c>
      <c r="C16" s="42">
        <f>C10+C11+C15</f>
        <v>762.0599999999998</v>
      </c>
      <c r="D16" s="42" t="e">
        <f>D10+D11+D15</f>
        <v>#VALUE!</v>
      </c>
      <c r="E16" s="52" t="e">
        <f>E10+E11+E15</f>
        <v>#VALUE!</v>
      </c>
      <c r="F16" s="53" t="e">
        <f>F10+F11+F15</f>
        <v>#VALUE!</v>
      </c>
      <c r="G16" s="27" t="s">
        <v>304</v>
      </c>
      <c r="H16" s="27" t="s">
        <v>305</v>
      </c>
    </row>
    <row r="17" spans="1:8" ht="15.75">
      <c r="A17" s="27" t="s">
        <v>306</v>
      </c>
      <c r="B17" s="33" t="s">
        <v>307</v>
      </c>
      <c r="C17" s="34">
        <f>C6-C16</f>
        <v>737.9400000000002</v>
      </c>
      <c r="D17" s="34" t="e">
        <f>D6-D16</f>
        <v>#VALUE!</v>
      </c>
      <c r="E17" s="56" t="e">
        <f>E6-E16</f>
        <v>#VALUE!</v>
      </c>
      <c r="F17" s="57" t="e">
        <f>F6-F16</f>
        <v>#VALUE!</v>
      </c>
      <c r="G17" s="27" t="s">
        <v>308</v>
      </c>
      <c r="H17" s="27" t="s">
        <v>309</v>
      </c>
    </row>
    <row r="18" spans="1:8" ht="15.75">
      <c r="A18" s="27" t="s">
        <v>310</v>
      </c>
      <c r="B18" s="35" t="s">
        <v>311</v>
      </c>
      <c r="C18" s="32"/>
      <c r="D18" s="32"/>
      <c r="E18" s="50"/>
      <c r="F18" s="51"/>
      <c r="G18" s="27"/>
      <c r="H18" s="27"/>
    </row>
    <row r="19" spans="1:8" ht="15">
      <c r="A19" s="27" t="s">
        <v>312</v>
      </c>
      <c r="B19" s="31" t="s">
        <v>313</v>
      </c>
      <c r="C19" s="32">
        <v>0</v>
      </c>
      <c r="D19" s="32">
        <v>0</v>
      </c>
      <c r="E19" s="54">
        <v>0</v>
      </c>
      <c r="F19" s="55">
        <v>0</v>
      </c>
      <c r="G19" s="27" t="s">
        <v>314</v>
      </c>
      <c r="H19" s="27" t="s">
        <v>315</v>
      </c>
    </row>
    <row r="20" spans="1:8" ht="15">
      <c r="A20" s="27" t="s">
        <v>316</v>
      </c>
      <c r="B20" s="31" t="s">
        <v>317</v>
      </c>
      <c r="C20" s="32">
        <v>0</v>
      </c>
      <c r="D20" s="32">
        <v>0</v>
      </c>
      <c r="E20" s="54">
        <v>0</v>
      </c>
      <c r="F20" s="55">
        <v>0</v>
      </c>
      <c r="G20" s="27" t="s">
        <v>318</v>
      </c>
      <c r="H20" s="27" t="s">
        <v>319</v>
      </c>
    </row>
    <row r="21" spans="1:8" ht="15">
      <c r="A21" s="27" t="s">
        <v>320</v>
      </c>
      <c r="B21" s="31" t="s">
        <v>321</v>
      </c>
      <c r="C21" s="32">
        <v>0</v>
      </c>
      <c r="D21" s="32">
        <v>0</v>
      </c>
      <c r="E21" s="54">
        <v>0</v>
      </c>
      <c r="F21" s="55">
        <v>0</v>
      </c>
      <c r="G21" s="27" t="s">
        <v>322</v>
      </c>
      <c r="H21" s="27" t="s">
        <v>323</v>
      </c>
    </row>
    <row r="22" spans="1:8" ht="15">
      <c r="A22" s="27" t="s">
        <v>324</v>
      </c>
      <c r="B22" s="31" t="s">
        <v>325</v>
      </c>
      <c r="C22" s="32">
        <v>0</v>
      </c>
      <c r="D22" s="32">
        <v>0</v>
      </c>
      <c r="E22" s="54">
        <v>0</v>
      </c>
      <c r="F22" s="55">
        <v>0</v>
      </c>
      <c r="G22" s="27" t="s">
        <v>326</v>
      </c>
      <c r="H22" s="27" t="s">
        <v>327</v>
      </c>
    </row>
    <row r="23" spans="1:8" ht="15">
      <c r="A23" s="27" t="s">
        <v>328</v>
      </c>
      <c r="B23" s="31" t="s">
        <v>329</v>
      </c>
      <c r="C23" s="32">
        <v>0</v>
      </c>
      <c r="D23" s="32">
        <v>0</v>
      </c>
      <c r="E23" s="54">
        <v>0</v>
      </c>
      <c r="F23" s="55">
        <v>0</v>
      </c>
      <c r="G23" s="27" t="s">
        <v>330</v>
      </c>
      <c r="H23" s="27" t="s">
        <v>331</v>
      </c>
    </row>
    <row r="24" spans="1:8" ht="15.75">
      <c r="A24" s="27" t="s">
        <v>332</v>
      </c>
      <c r="B24" s="35" t="s">
        <v>333</v>
      </c>
      <c r="C24" s="42">
        <f>SUM(C19:C23)</f>
        <v>0</v>
      </c>
      <c r="D24" s="42">
        <f>SUM(D19:D23)</f>
        <v>0</v>
      </c>
      <c r="E24" s="58">
        <v>0</v>
      </c>
      <c r="F24" s="59">
        <v>0</v>
      </c>
      <c r="G24" s="27" t="s">
        <v>334</v>
      </c>
      <c r="H24" s="27" t="s">
        <v>335</v>
      </c>
    </row>
    <row r="25" spans="1:6" ht="15.75">
      <c r="A25" s="27" t="s">
        <v>336</v>
      </c>
      <c r="B25" s="37" t="s">
        <v>337</v>
      </c>
      <c r="C25" s="38">
        <f>C6+C24</f>
        <v>1500</v>
      </c>
      <c r="D25" s="38">
        <f>D6+D24</f>
        <v>3000</v>
      </c>
      <c r="E25" s="60">
        <f>E6+E24</f>
        <v>3000</v>
      </c>
      <c r="F25" s="61">
        <f>F6+F24</f>
        <v>3000</v>
      </c>
    </row>
    <row r="26" ht="12.75">
      <c r="A26" s="62"/>
    </row>
    <row r="27" spans="1:6" ht="12.75">
      <c r="A27" s="27" t="s">
        <v>338</v>
      </c>
      <c r="B27" s="1" t="s">
        <v>339</v>
      </c>
      <c r="C27" s="63" t="s">
        <v>340</v>
      </c>
      <c r="E27" s="1">
        <v>1518.11</v>
      </c>
      <c r="F27" s="1">
        <v>269.73</v>
      </c>
    </row>
    <row r="28" spans="1:6" ht="12.75">
      <c r="A28" s="27" t="s">
        <v>341</v>
      </c>
      <c r="C28" s="63" t="s">
        <v>342</v>
      </c>
      <c r="E28" s="1">
        <v>1904.66</v>
      </c>
      <c r="F28" s="1">
        <v>1904.66</v>
      </c>
    </row>
    <row r="30" ht="12.75">
      <c r="B30" s="64" t="s">
        <v>343</v>
      </c>
    </row>
    <row r="31" ht="12.75">
      <c r="B31" s="64" t="s">
        <v>344</v>
      </c>
    </row>
  </sheetData>
  <mergeCells count="4">
    <mergeCell ref="B1:D1"/>
    <mergeCell ref="B3:D3"/>
    <mergeCell ref="B4:D4"/>
    <mergeCell ref="G4:H4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4" width="15.7109375" style="26" customWidth="1"/>
    <col min="5" max="5" width="39.421875" style="1" customWidth="1"/>
    <col min="6" max="16384" width="9.00390625" style="1" customWidth="1"/>
  </cols>
  <sheetData>
    <row r="1" spans="2:4" ht="20.25">
      <c r="B1" s="66" t="s">
        <v>345</v>
      </c>
      <c r="C1" s="66"/>
      <c r="D1" s="66"/>
    </row>
    <row r="3" spans="2:4" ht="12.75">
      <c r="B3" s="70" t="s">
        <v>346</v>
      </c>
      <c r="C3" s="70"/>
      <c r="D3" s="70"/>
    </row>
    <row r="4" spans="2:4" ht="12.75">
      <c r="B4" s="70" t="s">
        <v>347</v>
      </c>
      <c r="C4" s="70"/>
      <c r="D4" s="70"/>
    </row>
    <row r="5" spans="3:4" ht="15.75">
      <c r="C5" s="40" t="s">
        <v>348</v>
      </c>
      <c r="D5" s="40" t="s">
        <v>349</v>
      </c>
    </row>
    <row r="6" spans="1:5" ht="15.75">
      <c r="A6" s="27" t="s">
        <v>350</v>
      </c>
      <c r="B6" s="28" t="s">
        <v>351</v>
      </c>
      <c r="C6" s="29">
        <f>Podsumowanie!$D$18</f>
        <v>3000</v>
      </c>
      <c r="D6" s="29">
        <f>Podsumowanie!$D$19</f>
        <v>3000</v>
      </c>
      <c r="E6" s="30" t="s">
        <v>352</v>
      </c>
    </row>
    <row r="7" spans="1:5" ht="15">
      <c r="A7" s="27" t="s">
        <v>353</v>
      </c>
      <c r="B7" s="31" t="s">
        <v>354</v>
      </c>
      <c r="C7" s="32">
        <f>C6*9.76%</f>
        <v>292.79999999999995</v>
      </c>
      <c r="D7" s="32">
        <f>D6*9.76%</f>
        <v>292.79999999999995</v>
      </c>
      <c r="E7" s="27" t="s">
        <v>355</v>
      </c>
    </row>
    <row r="8" spans="1:5" ht="15">
      <c r="A8" s="27" t="s">
        <v>356</v>
      </c>
      <c r="B8" s="31" t="s">
        <v>357</v>
      </c>
      <c r="C8" s="32">
        <f>C6*6.5%</f>
        <v>195</v>
      </c>
      <c r="D8" s="32">
        <f>D6*6.5%</f>
        <v>195</v>
      </c>
      <c r="E8" s="27" t="s">
        <v>358</v>
      </c>
    </row>
    <row r="9" spans="1:5" ht="15">
      <c r="A9" s="27" t="s">
        <v>359</v>
      </c>
      <c r="B9" s="31" t="s">
        <v>360</v>
      </c>
      <c r="C9" s="32">
        <f>C6*2.45%</f>
        <v>73.5</v>
      </c>
      <c r="D9" s="32">
        <f>D6*2.45%</f>
        <v>73.5</v>
      </c>
      <c r="E9" s="27" t="s">
        <v>361</v>
      </c>
    </row>
    <row r="10" spans="1:5" ht="15.75">
      <c r="A10" s="27" t="s">
        <v>362</v>
      </c>
      <c r="B10" s="35" t="s">
        <v>363</v>
      </c>
      <c r="C10" s="42">
        <f>SUM(C7,C8,C9)</f>
        <v>561.3</v>
      </c>
      <c r="D10" s="42">
        <f>SUM(D7,D8,D9)</f>
        <v>561.3</v>
      </c>
      <c r="E10" s="27" t="s">
        <v>364</v>
      </c>
    </row>
    <row r="11" spans="1:5" ht="15">
      <c r="A11" s="27" t="s">
        <v>365</v>
      </c>
      <c r="B11" s="31" t="s">
        <v>366</v>
      </c>
      <c r="C11" s="32">
        <v>102.25</v>
      </c>
      <c r="D11" s="32">
        <v>102.25</v>
      </c>
      <c r="E11" s="27" t="s">
        <v>367</v>
      </c>
    </row>
    <row r="12" spans="1:5" ht="15">
      <c r="A12" s="27" t="s">
        <v>368</v>
      </c>
      <c r="B12" s="31" t="s">
        <v>369</v>
      </c>
      <c r="C12" s="32">
        <f>ROUND(C6-C10-C11,0)</f>
        <v>2336</v>
      </c>
      <c r="D12" s="32">
        <f>ROUND(D6-D10-D11,0)</f>
        <v>2336</v>
      </c>
      <c r="E12" s="27" t="s">
        <v>370</v>
      </c>
    </row>
    <row r="13" spans="1:5" ht="15">
      <c r="A13" s="27" t="s">
        <v>371</v>
      </c>
      <c r="B13" s="31" t="s">
        <v>372</v>
      </c>
      <c r="C13" s="32">
        <v>44.17</v>
      </c>
      <c r="D13" s="32">
        <v>44.17</v>
      </c>
      <c r="E13" s="27" t="s">
        <v>373</v>
      </c>
    </row>
    <row r="14" spans="1:5" ht="15">
      <c r="A14" s="27" t="s">
        <v>374</v>
      </c>
      <c r="B14" s="31" t="s">
        <v>375</v>
      </c>
      <c r="C14" s="32">
        <f>C12*19%-C13</f>
        <v>399.67</v>
      </c>
      <c r="D14" s="32">
        <f>D12*19%-D13</f>
        <v>399.67</v>
      </c>
      <c r="E14" s="27" t="s">
        <v>376</v>
      </c>
    </row>
    <row r="15" spans="1:5" ht="15">
      <c r="A15" s="27" t="s">
        <v>377</v>
      </c>
      <c r="B15" s="31" t="s">
        <v>378</v>
      </c>
      <c r="C15" s="32">
        <f>(C6-C10)*7.75%</f>
        <v>188.99925</v>
      </c>
      <c r="D15" s="32">
        <f>(D6-D10)*7.75%</f>
        <v>188.99925</v>
      </c>
      <c r="E15" s="27" t="s">
        <v>379</v>
      </c>
    </row>
    <row r="16" spans="1:5" ht="15">
      <c r="A16" s="27" t="s">
        <v>380</v>
      </c>
      <c r="B16" s="31" t="s">
        <v>381</v>
      </c>
      <c r="C16" s="32">
        <f>(C6-C10)*1%</f>
        <v>24.387</v>
      </c>
      <c r="D16" s="32">
        <f>(D6-D10)*1%</f>
        <v>24.387</v>
      </c>
      <c r="E16" s="27" t="s">
        <v>382</v>
      </c>
    </row>
    <row r="17" spans="1:5" ht="15">
      <c r="A17" s="27" t="s">
        <v>383</v>
      </c>
      <c r="B17" s="31" t="s">
        <v>384</v>
      </c>
      <c r="C17" s="32">
        <f>ROUND(((C6-C10-C11)*19%-C13-C15),0)</f>
        <v>211</v>
      </c>
      <c r="D17" s="32">
        <f>ROUND(((D6-D10-D11)*19%-D13-D15),0)</f>
        <v>211</v>
      </c>
      <c r="E17" s="27" t="s">
        <v>385</v>
      </c>
    </row>
    <row r="18" spans="1:5" ht="15.75">
      <c r="A18" s="27" t="s">
        <v>386</v>
      </c>
      <c r="B18" s="33" t="s">
        <v>387</v>
      </c>
      <c r="C18" s="34">
        <f>C6-C10-C17-C15-C16</f>
        <v>2014.3137499999998</v>
      </c>
      <c r="D18" s="34">
        <f>D6-D10-D17-D15-D16</f>
        <v>2014.3137499999998</v>
      </c>
      <c r="E18" s="27" t="s">
        <v>388</v>
      </c>
    </row>
    <row r="19" spans="1:5" ht="15.75">
      <c r="A19" s="27" t="s">
        <v>389</v>
      </c>
      <c r="B19" s="35" t="s">
        <v>390</v>
      </c>
      <c r="C19" s="32"/>
      <c r="D19" s="32"/>
      <c r="E19" s="27"/>
    </row>
    <row r="20" spans="1:5" ht="15">
      <c r="A20" s="27" t="s">
        <v>391</v>
      </c>
      <c r="B20" s="31" t="s">
        <v>392</v>
      </c>
      <c r="C20" s="32">
        <f>C6*9.76%</f>
        <v>292.79999999999995</v>
      </c>
      <c r="D20" s="32">
        <f>D6*9.76%</f>
        <v>292.79999999999995</v>
      </c>
      <c r="E20" s="27" t="s">
        <v>393</v>
      </c>
    </row>
    <row r="21" spans="1:5" ht="15">
      <c r="A21" s="27" t="s">
        <v>394</v>
      </c>
      <c r="B21" s="31" t="s">
        <v>395</v>
      </c>
      <c r="C21" s="32">
        <f>C6*6.5%</f>
        <v>195</v>
      </c>
      <c r="D21" s="32">
        <f>D6*6.5%</f>
        <v>195</v>
      </c>
      <c r="E21" s="27" t="s">
        <v>396</v>
      </c>
    </row>
    <row r="22" spans="1:5" ht="15">
      <c r="A22" s="27" t="s">
        <v>397</v>
      </c>
      <c r="B22" s="31" t="s">
        <v>398</v>
      </c>
      <c r="C22" s="32">
        <v>0</v>
      </c>
      <c r="D22" s="32">
        <v>0</v>
      </c>
      <c r="E22" s="27" t="s">
        <v>399</v>
      </c>
    </row>
    <row r="23" spans="1:5" ht="15">
      <c r="A23" s="27" t="s">
        <v>400</v>
      </c>
      <c r="B23" s="31" t="s">
        <v>401</v>
      </c>
      <c r="C23" s="32">
        <f>C6*0.1%</f>
        <v>3</v>
      </c>
      <c r="D23" s="32">
        <f>D6*0.1%</f>
        <v>3</v>
      </c>
      <c r="E23" s="27" t="s">
        <v>402</v>
      </c>
    </row>
    <row r="24" spans="1:5" ht="15">
      <c r="A24" s="27" t="s">
        <v>403</v>
      </c>
      <c r="B24" s="31" t="s">
        <v>404</v>
      </c>
      <c r="C24" s="32">
        <f>C6*2.45%</f>
        <v>73.5</v>
      </c>
      <c r="D24" s="32">
        <f>D6*2.45%</f>
        <v>73.5</v>
      </c>
      <c r="E24" s="27" t="s">
        <v>405</v>
      </c>
    </row>
    <row r="25" spans="1:5" ht="15.75">
      <c r="A25" s="27" t="s">
        <v>406</v>
      </c>
      <c r="B25" s="35" t="s">
        <v>407</v>
      </c>
      <c r="C25" s="42">
        <f>SUM(C20:C24)</f>
        <v>564.3</v>
      </c>
      <c r="D25" s="42">
        <f>SUM(D20:D24)</f>
        <v>564.3</v>
      </c>
      <c r="E25" s="27" t="s">
        <v>408</v>
      </c>
    </row>
    <row r="26" spans="1:5" ht="15.75">
      <c r="A26" s="36" t="s">
        <v>409</v>
      </c>
      <c r="B26" s="37" t="s">
        <v>410</v>
      </c>
      <c r="C26" s="38">
        <f>C6+C25</f>
        <v>3564.3</v>
      </c>
      <c r="D26" s="38">
        <f>D6+D25</f>
        <v>3564.3</v>
      </c>
      <c r="E26" s="27" t="s">
        <v>411</v>
      </c>
    </row>
    <row r="29" ht="12.75">
      <c r="B29" s="39" t="s">
        <v>412</v>
      </c>
    </row>
  </sheetData>
  <mergeCells count="3">
    <mergeCell ref="B1:D1"/>
    <mergeCell ref="B3:D3"/>
    <mergeCell ref="B4:D4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45.7109375" style="1" customWidth="1"/>
    <col min="3" max="4" width="15.7109375" style="26" customWidth="1"/>
    <col min="5" max="5" width="36.57421875" style="1" customWidth="1"/>
    <col min="6" max="16384" width="9.00390625" style="1" customWidth="1"/>
  </cols>
  <sheetData>
    <row r="1" spans="2:4" ht="20.25">
      <c r="B1" s="66" t="s">
        <v>413</v>
      </c>
      <c r="C1" s="66"/>
      <c r="D1" s="66"/>
    </row>
    <row r="2" ht="12.75">
      <c r="B2" s="65"/>
    </row>
    <row r="3" spans="2:4" ht="12.75">
      <c r="B3" s="70" t="s">
        <v>414</v>
      </c>
      <c r="C3" s="70"/>
      <c r="D3" s="70"/>
    </row>
    <row r="4" spans="2:4" ht="12.75">
      <c r="B4" s="70" t="s">
        <v>415</v>
      </c>
      <c r="C4" s="70"/>
      <c r="D4" s="70"/>
    </row>
    <row r="5" spans="3:4" ht="15.75">
      <c r="C5" s="40" t="s">
        <v>416</v>
      </c>
      <c r="D5" s="40" t="s">
        <v>417</v>
      </c>
    </row>
    <row r="6" spans="1:5" ht="15.75">
      <c r="A6" s="27" t="s">
        <v>418</v>
      </c>
      <c r="B6" s="28" t="s">
        <v>419</v>
      </c>
      <c r="C6" s="29">
        <f>Podsumowanie!$D$20</f>
        <v>3000</v>
      </c>
      <c r="D6" s="29">
        <f>Podsumowanie!$D$21</f>
        <v>3000</v>
      </c>
      <c r="E6" s="30" t="s">
        <v>420</v>
      </c>
    </row>
    <row r="7" spans="1:5" ht="15">
      <c r="A7" s="27" t="s">
        <v>421</v>
      </c>
      <c r="B7" s="31" t="s">
        <v>422</v>
      </c>
      <c r="C7" s="32">
        <f>C6*9.76%</f>
        <v>292.79999999999995</v>
      </c>
      <c r="D7" s="32">
        <f>D6*9.76%</f>
        <v>292.79999999999995</v>
      </c>
      <c r="E7" s="27" t="s">
        <v>423</v>
      </c>
    </row>
    <row r="8" spans="1:5" ht="15">
      <c r="A8" s="27" t="s">
        <v>424</v>
      </c>
      <c r="B8" s="31" t="s">
        <v>425</v>
      </c>
      <c r="C8" s="32">
        <f>C6*6.5%</f>
        <v>195</v>
      </c>
      <c r="D8" s="32">
        <f>D6*6.5%</f>
        <v>195</v>
      </c>
      <c r="E8" s="27" t="s">
        <v>426</v>
      </c>
    </row>
    <row r="9" spans="1:5" ht="15">
      <c r="A9" s="27" t="s">
        <v>427</v>
      </c>
      <c r="B9" s="31" t="s">
        <v>428</v>
      </c>
      <c r="C9" s="32">
        <v>0</v>
      </c>
      <c r="D9" s="32">
        <f>D6*2.45%</f>
        <v>73.5</v>
      </c>
      <c r="E9" s="27" t="s">
        <v>429</v>
      </c>
    </row>
    <row r="10" spans="1:5" ht="15.75">
      <c r="A10" s="27" t="s">
        <v>430</v>
      </c>
      <c r="B10" s="35" t="s">
        <v>431</v>
      </c>
      <c r="C10" s="42">
        <f>SUM(C7,C8,C9)</f>
        <v>487.79999999999995</v>
      </c>
      <c r="D10" s="42">
        <f>SUM(D7,D8,D9)</f>
        <v>561.3</v>
      </c>
      <c r="E10" s="27" t="s">
        <v>432</v>
      </c>
    </row>
    <row r="11" spans="1:5" ht="15">
      <c r="A11" s="27" t="s">
        <v>433</v>
      </c>
      <c r="B11" s="31" t="s">
        <v>434</v>
      </c>
      <c r="C11" s="32">
        <f>(C6-C10)*50%</f>
        <v>1256.1</v>
      </c>
      <c r="D11" s="32">
        <f>(D6-D10)*50%</f>
        <v>1219.35</v>
      </c>
      <c r="E11" s="43" t="s">
        <v>435</v>
      </c>
    </row>
    <row r="12" spans="1:5" ht="15">
      <c r="A12" s="27" t="s">
        <v>436</v>
      </c>
      <c r="B12" s="31" t="s">
        <v>437</v>
      </c>
      <c r="C12" s="32">
        <f>C6-C10-C11</f>
        <v>1256.1</v>
      </c>
      <c r="D12" s="32">
        <f>D6-D10-D11</f>
        <v>1219.35</v>
      </c>
      <c r="E12" s="27" t="s">
        <v>438</v>
      </c>
    </row>
    <row r="13" spans="1:5" ht="15">
      <c r="A13" s="27" t="s">
        <v>439</v>
      </c>
      <c r="B13" s="31" t="s">
        <v>440</v>
      </c>
      <c r="C13" s="32">
        <v>0</v>
      </c>
      <c r="D13" s="32">
        <v>0</v>
      </c>
      <c r="E13" s="27" t="s">
        <v>441</v>
      </c>
    </row>
    <row r="14" spans="1:5" ht="15">
      <c r="A14" s="27" t="s">
        <v>442</v>
      </c>
      <c r="B14" s="31" t="s">
        <v>443</v>
      </c>
      <c r="C14" s="32">
        <f>C12*19%-C13</f>
        <v>238.659</v>
      </c>
      <c r="D14" s="32">
        <f>D12*19%-D13</f>
        <v>231.67649999999998</v>
      </c>
      <c r="E14" s="27" t="s">
        <v>444</v>
      </c>
    </row>
    <row r="15" spans="1:5" ht="15">
      <c r="A15" s="27" t="s">
        <v>445</v>
      </c>
      <c r="B15" s="31" t="s">
        <v>446</v>
      </c>
      <c r="C15" s="32">
        <f>(C6-C10)*7.75%</f>
        <v>194.69549999999998</v>
      </c>
      <c r="D15" s="32">
        <f>(D6-D10)*7.75%</f>
        <v>188.99925</v>
      </c>
      <c r="E15" s="27" t="s">
        <v>447</v>
      </c>
    </row>
    <row r="16" spans="1:5" ht="15">
      <c r="A16" s="27" t="s">
        <v>448</v>
      </c>
      <c r="B16" s="31" t="s">
        <v>449</v>
      </c>
      <c r="C16" s="32">
        <f>(C6-C10)*1%</f>
        <v>25.122</v>
      </c>
      <c r="D16" s="32">
        <f>(D6-D10)*1%</f>
        <v>24.387</v>
      </c>
      <c r="E16" s="27" t="s">
        <v>450</v>
      </c>
    </row>
    <row r="17" spans="1:5" ht="15">
      <c r="A17" s="27" t="s">
        <v>451</v>
      </c>
      <c r="B17" s="31" t="s">
        <v>452</v>
      </c>
      <c r="C17" s="32">
        <f>ROUND(((C6-C10-C11)*19%-C13-C15),0)</f>
        <v>44</v>
      </c>
      <c r="D17" s="32">
        <f>ROUND(((D6-D10-D11)*19%-D13-D15),0)</f>
        <v>43</v>
      </c>
      <c r="E17" s="27" t="s">
        <v>453</v>
      </c>
    </row>
    <row r="18" spans="1:5" ht="15.75">
      <c r="A18" s="27" t="s">
        <v>454</v>
      </c>
      <c r="B18" s="33" t="s">
        <v>455</v>
      </c>
      <c r="C18" s="34">
        <f>C6-C10-C17-C15-C16</f>
        <v>2248.3825</v>
      </c>
      <c r="D18" s="34">
        <f>D6-D10-D17-D15-D16</f>
        <v>2182.31375</v>
      </c>
      <c r="E18" s="27" t="s">
        <v>456</v>
      </c>
    </row>
    <row r="19" spans="1:5" ht="15.75">
      <c r="A19" s="27" t="s">
        <v>457</v>
      </c>
      <c r="B19" s="35" t="s">
        <v>458</v>
      </c>
      <c r="C19" s="32"/>
      <c r="D19" s="32"/>
      <c r="E19" s="27"/>
    </row>
    <row r="20" spans="1:5" ht="15">
      <c r="A20" s="27" t="s">
        <v>459</v>
      </c>
      <c r="B20" s="31" t="s">
        <v>460</v>
      </c>
      <c r="C20" s="32">
        <f>C6*9.76%</f>
        <v>292.79999999999995</v>
      </c>
      <c r="D20" s="32">
        <f>D6*9.76%</f>
        <v>292.79999999999995</v>
      </c>
      <c r="E20" s="27" t="s">
        <v>461</v>
      </c>
    </row>
    <row r="21" spans="1:5" ht="15">
      <c r="A21" s="27" t="s">
        <v>462</v>
      </c>
      <c r="B21" s="31" t="s">
        <v>463</v>
      </c>
      <c r="C21" s="32">
        <f>C6*6.5%</f>
        <v>195</v>
      </c>
      <c r="D21" s="32">
        <f>D6*6.5%</f>
        <v>195</v>
      </c>
      <c r="E21" s="27" t="s">
        <v>464</v>
      </c>
    </row>
    <row r="22" spans="1:5" ht="15">
      <c r="A22" s="27" t="s">
        <v>465</v>
      </c>
      <c r="B22" s="31" t="s">
        <v>466</v>
      </c>
      <c r="C22" s="32">
        <v>0</v>
      </c>
      <c r="D22" s="32">
        <f>D6*1.8%</f>
        <v>54.00000000000001</v>
      </c>
      <c r="E22" s="27" t="s">
        <v>467</v>
      </c>
    </row>
    <row r="23" spans="1:5" ht="15">
      <c r="A23" s="27" t="s">
        <v>468</v>
      </c>
      <c r="B23" s="31" t="s">
        <v>469</v>
      </c>
      <c r="C23" s="32">
        <f>C6*0.1%</f>
        <v>3</v>
      </c>
      <c r="D23" s="32">
        <f>D6*0.1%</f>
        <v>3</v>
      </c>
      <c r="E23" s="27" t="s">
        <v>470</v>
      </c>
    </row>
    <row r="24" spans="1:5" ht="15">
      <c r="A24" s="27" t="s">
        <v>471</v>
      </c>
      <c r="B24" s="31" t="s">
        <v>472</v>
      </c>
      <c r="C24" s="32">
        <f>C6*2.45%</f>
        <v>73.5</v>
      </c>
      <c r="D24" s="32">
        <f>D6*2.45%</f>
        <v>73.5</v>
      </c>
      <c r="E24" s="27" t="s">
        <v>473</v>
      </c>
    </row>
    <row r="25" spans="1:5" ht="15.75">
      <c r="A25" s="27" t="s">
        <v>474</v>
      </c>
      <c r="B25" s="35" t="s">
        <v>475</v>
      </c>
      <c r="C25" s="42">
        <f>SUM(C20:C24)</f>
        <v>564.3</v>
      </c>
      <c r="D25" s="42">
        <f>SUM(D20:D24)</f>
        <v>618.3</v>
      </c>
      <c r="E25" s="27" t="s">
        <v>476</v>
      </c>
    </row>
    <row r="26" spans="1:5" ht="15.75">
      <c r="A26" s="36" t="s">
        <v>477</v>
      </c>
      <c r="B26" s="37" t="s">
        <v>478</v>
      </c>
      <c r="C26" s="38">
        <f>C6+C25</f>
        <v>3564.3</v>
      </c>
      <c r="D26" s="38">
        <f>D6+D25</f>
        <v>3618.3</v>
      </c>
      <c r="E26" s="27" t="s">
        <v>479</v>
      </c>
    </row>
    <row r="28" ht="12.75">
      <c r="B28" s="1" t="s">
        <v>480</v>
      </c>
    </row>
    <row r="30" ht="12.75">
      <c r="B30" s="1" t="s">
        <v>481</v>
      </c>
    </row>
    <row r="31" ht="12.75">
      <c r="B31" s="1" t="s">
        <v>482</v>
      </c>
    </row>
    <row r="32" ht="12.75">
      <c r="B32" s="1" t="s">
        <v>483</v>
      </c>
    </row>
    <row r="34" ht="12.75">
      <c r="B34" s="1" t="s">
        <v>484</v>
      </c>
    </row>
    <row r="35" ht="12.75">
      <c r="B35" s="1" t="s">
        <v>485</v>
      </c>
    </row>
    <row r="36" ht="12.75">
      <c r="B36" s="39" t="s">
        <v>486</v>
      </c>
    </row>
  </sheetData>
  <mergeCells count="3">
    <mergeCell ref="B1:D1"/>
    <mergeCell ref="B3:D3"/>
    <mergeCell ref="B4:D4"/>
  </mergeCells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Właściciel</cp:lastModifiedBy>
  <cp:lastPrinted>2006-11-20T13:39:11Z</cp:lastPrinted>
  <dcterms:created xsi:type="dcterms:W3CDTF">2006-10-19T18:56:17Z</dcterms:created>
  <dcterms:modified xsi:type="dcterms:W3CDTF">2012-05-28T04:50:49Z</dcterms:modified>
  <cp:category/>
  <cp:version/>
  <cp:contentType/>
  <cp:contentStatus/>
  <cp:revision>1</cp:revision>
</cp:coreProperties>
</file>